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4526"/>
  <workbookPr/>
  <bookViews>
    <workbookView xWindow="240" yWindow="140" windowWidth="20120" windowHeight="6980" activeTab="3"/>
  </bookViews>
  <sheets>
    <sheet name="2014-03-28" sheetId="1" r:id="rId1"/>
    <sheet name="2014-06-28" sheetId="4" r:id="rId2"/>
    <sheet name="2015-03-03" sheetId="5" r:id="rId3"/>
    <sheet name="2015 Actual vs Budget" sheetId="6" r:id="rId4"/>
  </sheets>
  <definedNames>
    <definedName name="_xlnm.Print_Area" localSheetId="0">'2014-03-28'!$A$1:$G$177</definedName>
    <definedName name="_xlnm.Print_Area" localSheetId="1">'2014-06-28'!$A$1:$G$126</definedName>
    <definedName name="_xlnm.Print_Area" localSheetId="3">'2015 Actual vs Budget'!$A$1:$J$47</definedName>
    <definedName name="_xlnm.Print_Area" localSheetId="2">'2015-03-03'!$A$1:$G$127</definedName>
  </definedNames>
  <calcPr calcId="140001"/>
  <extLst/>
</workbook>
</file>

<file path=xl/sharedStrings.xml><?xml version="1.0" encoding="utf-8"?>
<sst xmlns="http://schemas.openxmlformats.org/spreadsheetml/2006/main" count="381" uniqueCount="139">
  <si>
    <t>Annual Conference</t>
  </si>
  <si>
    <t>Submitted to</t>
  </si>
  <si>
    <t>Confidential Data</t>
  </si>
  <si>
    <t>BOARD OF DIRECTORS</t>
  </si>
  <si>
    <t>Description</t>
  </si>
  <si>
    <t>Col-1</t>
  </si>
  <si>
    <t>Budgeted</t>
  </si>
  <si>
    <t>Col-2</t>
  </si>
  <si>
    <t>Actual</t>
  </si>
  <si>
    <t>Variance</t>
  </si>
  <si>
    <t>Col-4=Col-2/Col-1</t>
  </si>
  <si>
    <t>% Accomplished</t>
  </si>
  <si>
    <t>Col-3=Col2-Col-1</t>
  </si>
  <si>
    <t>Revenue</t>
  </si>
  <si>
    <t>Exhibitor Booths</t>
  </si>
  <si>
    <t>Career Booths</t>
  </si>
  <si>
    <t xml:space="preserve">  1-2 Day Pass 25%</t>
  </si>
  <si>
    <t xml:space="preserve">  4 Day Pass 75%</t>
  </si>
  <si>
    <t>2013 LB</t>
  </si>
  <si>
    <t>2012 SAC</t>
  </si>
  <si>
    <t>2011 LB</t>
  </si>
  <si>
    <t>2010 SJ</t>
  </si>
  <si>
    <t>2009 LB</t>
  </si>
  <si>
    <t>2008 SJ</t>
  </si>
  <si>
    <t>2007 LB</t>
  </si>
  <si>
    <t>2006 SJ</t>
  </si>
  <si>
    <t>2005 LB</t>
  </si>
  <si>
    <t>First Presenter for Institutes</t>
  </si>
  <si>
    <t>and Workshops</t>
  </si>
  <si>
    <t xml:space="preserve">Thursday: CABE </t>
  </si>
  <si>
    <t>Friday: Seal of</t>
  </si>
  <si>
    <t>Intensive Two</t>
  </si>
  <si>
    <t>Institutes</t>
  </si>
  <si>
    <t>Teacher</t>
  </si>
  <si>
    <t>Administrator</t>
  </si>
  <si>
    <t>Parent</t>
  </si>
  <si>
    <t>Para Educator</t>
  </si>
  <si>
    <t>Students</t>
  </si>
  <si>
    <t>School Site Visits</t>
  </si>
  <si>
    <t xml:space="preserve">   Total Registrants</t>
  </si>
  <si>
    <t xml:space="preserve">   Total Registration Revenue</t>
  </si>
  <si>
    <t>Projections Onsite</t>
  </si>
  <si>
    <t>Registration</t>
  </si>
  <si>
    <t>Other Events</t>
  </si>
  <si>
    <t>Total Projection Onsite</t>
  </si>
  <si>
    <t>Hotel Pick Up as of Monday March 24, 2014</t>
  </si>
  <si>
    <t>Marriott</t>
  </si>
  <si>
    <t>Contracted</t>
  </si>
  <si>
    <t>Pickup</t>
  </si>
  <si>
    <t>Hilton</t>
  </si>
  <si>
    <t>Currently Estimated Rebate Revenue</t>
  </si>
  <si>
    <t>Est. Rev. Basis</t>
  </si>
  <si>
    <t>HISTORICAL REGISTRATION - ATTENDEES</t>
  </si>
  <si>
    <t>REGISTRATION</t>
  </si>
  <si>
    <t>No. of Attendees</t>
  </si>
  <si>
    <t>Membership Information - Type</t>
  </si>
  <si>
    <t>Registrant members</t>
  </si>
  <si>
    <t>Registrant non-members</t>
  </si>
  <si>
    <t xml:space="preserve">    Total Attendees</t>
  </si>
  <si>
    <t xml:space="preserve">    Total Revenue</t>
  </si>
  <si>
    <t>% of Pickup</t>
  </si>
  <si>
    <t xml:space="preserve"> </t>
  </si>
  <si>
    <t>Preliminary Stats Report - Anaheim 2014</t>
  </si>
  <si>
    <t>Retired Teacher/Administrator</t>
  </si>
  <si>
    <t>Lifetime Members</t>
  </si>
  <si>
    <t xml:space="preserve">   Total</t>
  </si>
  <si>
    <t>Percentage</t>
  </si>
  <si>
    <t>Institutional Members</t>
  </si>
  <si>
    <t>Membership Information - No. of Registrants &amp; Revenue</t>
  </si>
  <si>
    <t>Collected</t>
  </si>
  <si>
    <t>Balance due</t>
  </si>
  <si>
    <t>IPad</t>
  </si>
  <si>
    <t>Excellence Banquet</t>
  </si>
  <si>
    <t>Awards Luncheon</t>
  </si>
  <si>
    <t xml:space="preserve">   - Sponsors</t>
  </si>
  <si>
    <t xml:space="preserve">   - Advertisements</t>
  </si>
  <si>
    <t xml:space="preserve">   - Booth</t>
  </si>
  <si>
    <t xml:space="preserve">         Total</t>
  </si>
  <si>
    <t>Other Event Revenue:</t>
  </si>
  <si>
    <t>IPad(BYOD)</t>
  </si>
  <si>
    <t xml:space="preserve"> Anaheim 2014</t>
  </si>
  <si>
    <t>2014 OC</t>
  </si>
  <si>
    <t xml:space="preserve">  Presenters</t>
  </si>
  <si>
    <t>Two Days Institues</t>
  </si>
  <si>
    <t>Awards &amp; Luncheon</t>
  </si>
  <si>
    <t>Seal of Excellence</t>
  </si>
  <si>
    <t>iPads for Educators and Beginners</t>
  </si>
  <si>
    <t>Combined Total</t>
  </si>
  <si>
    <t>iPads (BYO)</t>
  </si>
  <si>
    <t>Ipads</t>
  </si>
  <si>
    <t>Ipads (BYOD)</t>
  </si>
  <si>
    <t>Hotel &amp; Registration Package</t>
  </si>
  <si>
    <t>Parents, Students, &amp; Para Educators</t>
  </si>
  <si>
    <t>Presenters</t>
  </si>
  <si>
    <t>Teachers &amp; Administrators</t>
  </si>
  <si>
    <t>Members</t>
  </si>
  <si>
    <t>Non-Members</t>
  </si>
  <si>
    <t>Combined</t>
  </si>
  <si>
    <t>Total</t>
  </si>
  <si>
    <t>Number of Registrants &amp; Revenue</t>
  </si>
  <si>
    <t>San Diego 2015</t>
  </si>
  <si>
    <t>2015 SD</t>
  </si>
  <si>
    <t>SMART-reg</t>
  </si>
  <si>
    <t>Budget</t>
  </si>
  <si>
    <t>%</t>
  </si>
  <si>
    <t>1</t>
  </si>
  <si>
    <t>Fees-Career Fair</t>
  </si>
  <si>
    <t xml:space="preserve">Presenters </t>
  </si>
  <si>
    <t>Hotel Rebates</t>
  </si>
  <si>
    <t>Sub-Total</t>
  </si>
  <si>
    <t>Admin. Leadership Symposium</t>
  </si>
  <si>
    <t>CABE Award 2015 Luncheon</t>
  </si>
  <si>
    <t>Half Day Institute</t>
  </si>
  <si>
    <t>Intensive 2 Day Institute</t>
  </si>
  <si>
    <t>Membership New</t>
  </si>
  <si>
    <t>Membership Renew</t>
  </si>
  <si>
    <t>Other School Visits</t>
  </si>
  <si>
    <t>University Campus Visits</t>
  </si>
  <si>
    <t>Fundraising Income</t>
  </si>
  <si>
    <t>Less:</t>
  </si>
  <si>
    <t xml:space="preserve">  Hotel Packages</t>
  </si>
  <si>
    <t xml:space="preserve">  Memberships Fees </t>
  </si>
  <si>
    <t>2</t>
  </si>
  <si>
    <t>Totoal</t>
  </si>
  <si>
    <t>Includes Hotel Package</t>
  </si>
  <si>
    <t>Membership Fees not in Conference Budget. To be reclassified from Conference to Membership .</t>
  </si>
  <si>
    <t>California Association for Bilingual Education</t>
  </si>
  <si>
    <t>CABE 2015 Conference</t>
  </si>
  <si>
    <t>Actual vs. Budget</t>
  </si>
  <si>
    <t>As of March 3, 2015</t>
  </si>
  <si>
    <t>Seal of Excellence Banquets</t>
  </si>
  <si>
    <t xml:space="preserve">  Membership New</t>
  </si>
  <si>
    <t xml:space="preserve">  Membership Renew</t>
  </si>
  <si>
    <t>Exhibitor Booth Badges</t>
  </si>
  <si>
    <t>Advertisements</t>
  </si>
  <si>
    <t>Sponsorships</t>
  </si>
  <si>
    <t>Event Tickets</t>
  </si>
  <si>
    <t>Registration (Comp)</t>
  </si>
  <si>
    <t>Booth/Exhibitor 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</si>
</sst>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4"/>
      <color theme="1"/>
      <name val="Arial Rounded MT Bold"/>
      <family val="2"/>
    </font>
    <font>
      <sz val="12"/>
      <color theme="1"/>
      <name val="Arial Rounded MT Bold"/>
      <family val="2"/>
    </font>
    <font>
      <sz val="12"/>
      <color theme="0"/>
      <name val="Arial Rounded MT Bold"/>
      <family val="2"/>
    </font>
    <font>
      <u val="single"/>
      <sz val="14"/>
      <color theme="1"/>
      <name val="Arial Rounded MT Bold"/>
      <family val="2"/>
    </font>
    <font>
      <sz val="14"/>
      <color theme="0"/>
      <name val="Arial Rounded MT Bold"/>
      <family val="2"/>
    </font>
    <font>
      <sz val="20"/>
      <color theme="1"/>
      <name val="Arial Rounded MT Bold"/>
      <family val="2"/>
    </font>
    <font>
      <b/>
      <sz val="22"/>
      <color theme="1"/>
      <name val="Arial Rounded MT Bold"/>
      <family val="2"/>
    </font>
    <font>
      <i/>
      <sz val="11"/>
      <color rgb="FFFF0000"/>
      <name val="Arial Black"/>
      <family val="2"/>
    </font>
    <font>
      <sz val="10"/>
      <color theme="1"/>
      <name val="Calibri"/>
      <family val="2"/>
      <scheme val="minor"/>
    </font>
    <font>
      <sz val="11"/>
      <color rgb="FFFF0000"/>
      <name val="Arial Black"/>
      <family val="2"/>
    </font>
    <font>
      <b/>
      <sz val="12"/>
      <color rgb="FF323232"/>
      <name val="Arial Rounded MT Bold"/>
      <family val="2"/>
    </font>
    <font>
      <b/>
      <sz val="11"/>
      <color theme="1"/>
      <name val="Arial Rounded MT Bold"/>
      <family val="2"/>
    </font>
    <font>
      <b/>
      <sz val="11"/>
      <color rgb="FF0000CC"/>
      <name val="Arial Rounded MT Bold"/>
      <family val="2"/>
    </font>
    <font>
      <sz val="8"/>
      <color theme="1"/>
      <name val="Arial Rounded MT Bold"/>
      <family val="2"/>
    </font>
    <font>
      <b/>
      <u val="single"/>
      <sz val="11"/>
      <color theme="1"/>
      <name val="Arial Rounded MT Bold"/>
      <family val="2"/>
    </font>
    <font>
      <sz val="11"/>
      <color theme="0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thin"/>
    </border>
    <border>
      <left/>
      <right style="mediumDashDotDot"/>
      <top/>
      <bottom style="thin"/>
    </border>
    <border>
      <left/>
      <right/>
      <top style="thin"/>
      <bottom style="medium"/>
    </border>
    <border>
      <left style="mediumDashDotDot"/>
      <right/>
      <top style="thin"/>
      <bottom style="medium"/>
    </border>
    <border>
      <left/>
      <right style="mediumDashDotDot"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4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5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3" borderId="16" xfId="0" applyFont="1" applyFill="1" applyBorder="1"/>
    <xf numFmtId="165" fontId="6" fillId="0" borderId="17" xfId="18" applyNumberFormat="1" applyFont="1" applyBorder="1"/>
    <xf numFmtId="9" fontId="6" fillId="0" borderId="18" xfId="15" applyFont="1" applyBorder="1"/>
    <xf numFmtId="165" fontId="6" fillId="3" borderId="17" xfId="18" applyNumberFormat="1" applyFont="1" applyFill="1" applyBorder="1"/>
    <xf numFmtId="9" fontId="6" fillId="3" borderId="18" xfId="15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166" fontId="6" fillId="0" borderId="17" xfId="16" applyNumberFormat="1" applyFont="1" applyBorder="1"/>
    <xf numFmtId="166" fontId="6" fillId="3" borderId="17" xfId="16" applyNumberFormat="1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0" borderId="13" xfId="0" applyFont="1" applyBorder="1"/>
    <xf numFmtId="9" fontId="6" fillId="0" borderId="14" xfId="15" applyFont="1" applyBorder="1"/>
    <xf numFmtId="0" fontId="10" fillId="3" borderId="15" xfId="0" applyFont="1" applyFill="1" applyBorder="1"/>
    <xf numFmtId="0" fontId="6" fillId="0" borderId="17" xfId="0" applyFont="1" applyBorder="1"/>
    <xf numFmtId="0" fontId="7" fillId="0" borderId="17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0" xfId="0" applyFont="1" applyFill="1" applyBorder="1"/>
    <xf numFmtId="0" fontId="6" fillId="0" borderId="17" xfId="0" applyFont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44" fontId="6" fillId="0" borderId="17" xfId="16" applyFont="1" applyBorder="1"/>
    <xf numFmtId="0" fontId="10" fillId="3" borderId="13" xfId="0" applyFont="1" applyFill="1" applyBorder="1"/>
    <xf numFmtId="166" fontId="8" fillId="3" borderId="15" xfId="16" applyNumberFormat="1" applyFont="1" applyFill="1" applyBorder="1"/>
    <xf numFmtId="9" fontId="8" fillId="3" borderId="16" xfId="15" applyFont="1" applyFill="1" applyBorder="1"/>
    <xf numFmtId="0" fontId="6" fillId="3" borderId="15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9" fillId="2" borderId="13" xfId="0" applyFont="1" applyFill="1" applyBorder="1" applyAlignment="1">
      <alignment horizontal="center"/>
    </xf>
    <xf numFmtId="0" fontId="6" fillId="4" borderId="19" xfId="0" applyFont="1" applyFill="1" applyBorder="1"/>
    <xf numFmtId="0" fontId="6" fillId="4" borderId="20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4" borderId="9" xfId="0" applyFont="1" applyFill="1" applyBorder="1"/>
    <xf numFmtId="0" fontId="6" fillId="4" borderId="14" xfId="0" applyFont="1" applyFill="1" applyBorder="1"/>
    <xf numFmtId="0" fontId="6" fillId="4" borderId="13" xfId="0" applyFont="1" applyFill="1" applyBorder="1"/>
    <xf numFmtId="0" fontId="6" fillId="4" borderId="15" xfId="0" applyFont="1" applyFill="1" applyBorder="1"/>
    <xf numFmtId="165" fontId="6" fillId="3" borderId="9" xfId="18" applyNumberFormat="1" applyFont="1" applyFill="1" applyBorder="1"/>
    <xf numFmtId="165" fontId="6" fillId="3" borderId="13" xfId="18" applyNumberFormat="1" applyFont="1" applyFill="1" applyBorder="1"/>
    <xf numFmtId="165" fontId="6" fillId="3" borderId="15" xfId="18" applyNumberFormat="1" applyFont="1" applyFill="1" applyBorder="1"/>
    <xf numFmtId="165" fontId="6" fillId="4" borderId="9" xfId="18" applyNumberFormat="1" applyFont="1" applyFill="1" applyBorder="1"/>
    <xf numFmtId="165" fontId="6" fillId="4" borderId="13" xfId="18" applyNumberFormat="1" applyFont="1" applyFill="1" applyBorder="1"/>
    <xf numFmtId="165" fontId="6" fillId="4" borderId="15" xfId="18" applyNumberFormat="1" applyFont="1" applyFill="1" applyBorder="1"/>
    <xf numFmtId="9" fontId="6" fillId="3" borderId="14" xfId="15" applyFont="1" applyFill="1" applyBorder="1"/>
    <xf numFmtId="9" fontId="6" fillId="3" borderId="16" xfId="15" applyFont="1" applyFill="1" applyBorder="1"/>
    <xf numFmtId="9" fontId="6" fillId="4" borderId="14" xfId="15" applyFont="1" applyFill="1" applyBorder="1"/>
    <xf numFmtId="9" fontId="6" fillId="4" borderId="16" xfId="15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6" fontId="6" fillId="3" borderId="15" xfId="16" applyNumberFormat="1" applyFont="1" applyFill="1" applyBorder="1"/>
    <xf numFmtId="0" fontId="4" fillId="0" borderId="7" xfId="0" applyFont="1" applyBorder="1"/>
    <xf numFmtId="0" fontId="6" fillId="3" borderId="13" xfId="0" applyFont="1" applyFill="1" applyBorder="1" applyAlignment="1">
      <alignment horizontal="center"/>
    </xf>
    <xf numFmtId="44" fontId="6" fillId="3" borderId="17" xfId="16" applyFont="1" applyFill="1" applyBorder="1"/>
    <xf numFmtId="0" fontId="6" fillId="3" borderId="14" xfId="0" applyFont="1" applyFill="1" applyBorder="1" applyAlignment="1">
      <alignment horizontal="center"/>
    </xf>
    <xf numFmtId="165" fontId="6" fillId="0" borderId="15" xfId="18" applyNumberFormat="1" applyFont="1" applyBorder="1"/>
    <xf numFmtId="165" fontId="6" fillId="3" borderId="21" xfId="18" applyNumberFormat="1" applyFont="1" applyFill="1" applyBorder="1"/>
    <xf numFmtId="0" fontId="10" fillId="3" borderId="19" xfId="0" applyFont="1" applyFill="1" applyBorder="1"/>
    <xf numFmtId="0" fontId="10" fillId="3" borderId="20" xfId="0" applyFont="1" applyFill="1" applyBorder="1"/>
    <xf numFmtId="0" fontId="6" fillId="0" borderId="22" xfId="0" applyFont="1" applyBorder="1"/>
    <xf numFmtId="0" fontId="6" fillId="3" borderId="22" xfId="0" applyFont="1" applyFill="1" applyBorder="1"/>
    <xf numFmtId="166" fontId="6" fillId="3" borderId="16" xfId="16" applyNumberFormat="1" applyFont="1" applyFill="1" applyBorder="1"/>
    <xf numFmtId="165" fontId="6" fillId="0" borderId="18" xfId="18" applyNumberFormat="1" applyFont="1" applyBorder="1"/>
    <xf numFmtId="165" fontId="6" fillId="3" borderId="18" xfId="18" applyNumberFormat="1" applyFont="1" applyFill="1" applyBorder="1"/>
    <xf numFmtId="166" fontId="6" fillId="0" borderId="18" xfId="16" applyNumberFormat="1" applyFont="1" applyBorder="1"/>
    <xf numFmtId="166" fontId="6" fillId="3" borderId="18" xfId="16" applyNumberFormat="1" applyFont="1" applyFill="1" applyBorder="1"/>
    <xf numFmtId="0" fontId="6" fillId="0" borderId="14" xfId="0" applyFont="1" applyBorder="1"/>
    <xf numFmtId="0" fontId="6" fillId="3" borderId="0" xfId="0" applyFont="1" applyFill="1" applyBorder="1" applyAlignment="1">
      <alignment horizontal="center"/>
    </xf>
    <xf numFmtId="166" fontId="6" fillId="3" borderId="23" xfId="16" applyNumberFormat="1" applyFont="1" applyFill="1" applyBorder="1"/>
    <xf numFmtId="0" fontId="6" fillId="0" borderId="20" xfId="0" applyFont="1" applyBorder="1"/>
    <xf numFmtId="44" fontId="6" fillId="0" borderId="24" xfId="16" applyFont="1" applyBorder="1"/>
    <xf numFmtId="165" fontId="6" fillId="3" borderId="24" xfId="18" applyNumberFormat="1" applyFont="1" applyFill="1" applyBorder="1"/>
    <xf numFmtId="0" fontId="6" fillId="3" borderId="24" xfId="0" applyFont="1" applyFill="1" applyBorder="1"/>
    <xf numFmtId="0" fontId="6" fillId="0" borderId="24" xfId="0" applyFont="1" applyBorder="1"/>
    <xf numFmtId="166" fontId="6" fillId="3" borderId="24" xfId="16" applyNumberFormat="1" applyFont="1" applyFill="1" applyBorder="1"/>
    <xf numFmtId="166" fontId="6" fillId="3" borderId="13" xfId="16" applyNumberFormat="1" applyFont="1" applyFill="1" applyBorder="1" applyAlignment="1">
      <alignment horizontal="right"/>
    </xf>
    <xf numFmtId="166" fontId="6" fillId="3" borderId="13" xfId="0" applyNumberFormat="1" applyFont="1" applyFill="1" applyBorder="1"/>
    <xf numFmtId="0" fontId="7" fillId="3" borderId="22" xfId="0" applyFont="1" applyFill="1" applyBorder="1"/>
    <xf numFmtId="166" fontId="7" fillId="3" borderId="25" xfId="16" applyNumberFormat="1" applyFont="1" applyFill="1" applyBorder="1"/>
    <xf numFmtId="0" fontId="7" fillId="0" borderId="22" xfId="0" applyFont="1" applyBorder="1"/>
    <xf numFmtId="165" fontId="7" fillId="0" borderId="25" xfId="18" applyNumberFormat="1" applyFont="1" applyBorder="1"/>
    <xf numFmtId="166" fontId="6" fillId="3" borderId="13" xfId="0" applyNumberFormat="1" applyFont="1" applyFill="1" applyBorder="1" applyAlignment="1">
      <alignment horizontal="center"/>
    </xf>
    <xf numFmtId="166" fontId="6" fillId="4" borderId="15" xfId="16" applyNumberFormat="1" applyFont="1" applyFill="1" applyBorder="1"/>
    <xf numFmtId="166" fontId="6" fillId="3" borderId="13" xfId="16" applyNumberFormat="1" applyFont="1" applyFill="1" applyBorder="1" applyAlignment="1">
      <alignment horizontal="center"/>
    </xf>
    <xf numFmtId="0" fontId="4" fillId="0" borderId="0" xfId="0" applyFont="1" applyBorder="1"/>
    <xf numFmtId="9" fontId="6" fillId="4" borderId="15" xfId="15" applyFont="1" applyFill="1" applyBorder="1" applyAlignment="1">
      <alignment horizontal="center"/>
    </xf>
    <xf numFmtId="9" fontId="6" fillId="3" borderId="17" xfId="15" applyFont="1" applyFill="1" applyBorder="1" applyAlignment="1">
      <alignment horizontal="center"/>
    </xf>
    <xf numFmtId="165" fontId="6" fillId="0" borderId="26" xfId="18" applyNumberFormat="1" applyFont="1" applyBorder="1"/>
    <xf numFmtId="9" fontId="6" fillId="0" borderId="27" xfId="15" applyFont="1" applyBorder="1"/>
    <xf numFmtId="166" fontId="6" fillId="0" borderId="26" xfId="16" applyNumberFormat="1" applyFont="1" applyBorder="1"/>
    <xf numFmtId="166" fontId="6" fillId="3" borderId="15" xfId="16" applyNumberFormat="1" applyFont="1" applyFill="1" applyBorder="1" applyAlignment="1">
      <alignment horizontal="right"/>
    </xf>
    <xf numFmtId="166" fontId="6" fillId="3" borderId="15" xfId="0" applyNumberFormat="1" applyFont="1" applyFill="1" applyBorder="1"/>
    <xf numFmtId="166" fontId="6" fillId="4" borderId="13" xfId="0" applyNumberFormat="1" applyFont="1" applyFill="1" applyBorder="1"/>
    <xf numFmtId="0" fontId="6" fillId="4" borderId="13" xfId="0" applyFont="1" applyFill="1" applyBorder="1" applyAlignment="1">
      <alignment horizontal="center"/>
    </xf>
    <xf numFmtId="0" fontId="7" fillId="3" borderId="17" xfId="0" applyFont="1" applyFill="1" applyBorder="1"/>
    <xf numFmtId="166" fontId="7" fillId="3" borderId="26" xfId="16" applyNumberFormat="1" applyFont="1" applyFill="1" applyBorder="1"/>
    <xf numFmtId="0" fontId="6" fillId="0" borderId="15" xfId="0" applyFont="1" applyBorder="1"/>
    <xf numFmtId="165" fontId="6" fillId="3" borderId="16" xfId="18" applyNumberFormat="1" applyFont="1" applyFill="1" applyBorder="1"/>
    <xf numFmtId="0" fontId="5" fillId="0" borderId="28" xfId="0" applyFont="1" applyBorder="1"/>
    <xf numFmtId="166" fontId="6" fillId="3" borderId="15" xfId="16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6" fillId="4" borderId="17" xfId="0" applyFont="1" applyFill="1" applyBorder="1"/>
    <xf numFmtId="165" fontId="6" fillId="4" borderId="17" xfId="18" applyNumberFormat="1" applyFont="1" applyFill="1" applyBorder="1"/>
    <xf numFmtId="44" fontId="7" fillId="4" borderId="26" xfId="16" applyFont="1" applyFill="1" applyBorder="1"/>
    <xf numFmtId="9" fontId="6" fillId="4" borderId="18" xfId="15" applyFont="1" applyFill="1" applyBorder="1"/>
    <xf numFmtId="164" fontId="12" fillId="0" borderId="4" xfId="0" applyNumberFormat="1" applyFont="1" applyBorder="1" applyAlignment="1">
      <alignment horizontal="center"/>
    </xf>
    <xf numFmtId="0" fontId="14" fillId="0" borderId="0" xfId="0" applyFont="1"/>
    <xf numFmtId="44" fontId="6" fillId="0" borderId="18" xfId="16" applyFont="1" applyBorder="1"/>
    <xf numFmtId="0" fontId="10" fillId="3" borderId="29" xfId="0" applyFont="1" applyFill="1" applyBorder="1"/>
    <xf numFmtId="0" fontId="6" fillId="3" borderId="10" xfId="0" applyFont="1" applyFill="1" applyBorder="1"/>
    <xf numFmtId="9" fontId="6" fillId="3" borderId="16" xfId="15" applyFont="1" applyFill="1" applyBorder="1" applyAlignment="1">
      <alignment horizontal="center"/>
    </xf>
    <xf numFmtId="167" fontId="6" fillId="0" borderId="18" xfId="15" applyNumberFormat="1" applyFont="1" applyBorder="1" applyAlignment="1">
      <alignment horizontal="center"/>
    </xf>
    <xf numFmtId="167" fontId="6" fillId="3" borderId="18" xfId="15" applyNumberFormat="1" applyFont="1" applyFill="1" applyBorder="1" applyAlignment="1">
      <alignment horizontal="center"/>
    </xf>
    <xf numFmtId="167" fontId="6" fillId="3" borderId="21" xfId="15" applyNumberFormat="1" applyFont="1" applyFill="1" applyBorder="1" applyAlignment="1">
      <alignment horizontal="center"/>
    </xf>
    <xf numFmtId="0" fontId="6" fillId="4" borderId="22" xfId="0" applyFont="1" applyFill="1" applyBorder="1"/>
    <xf numFmtId="0" fontId="6" fillId="4" borderId="18" xfId="0" applyFont="1" applyFill="1" applyBorder="1"/>
    <xf numFmtId="9" fontId="6" fillId="4" borderId="25" xfId="15" applyFont="1" applyFill="1" applyBorder="1" applyAlignment="1">
      <alignment horizontal="center"/>
    </xf>
    <xf numFmtId="165" fontId="6" fillId="0" borderId="17" xfId="18" applyNumberFormat="1" applyFont="1" applyBorder="1" applyAlignment="1">
      <alignment horizontal="right"/>
    </xf>
    <xf numFmtId="165" fontId="6" fillId="3" borderId="17" xfId="18" applyNumberFormat="1" applyFont="1" applyFill="1" applyBorder="1" applyAlignment="1">
      <alignment horizontal="right"/>
    </xf>
    <xf numFmtId="165" fontId="6" fillId="3" borderId="21" xfId="18" applyNumberFormat="1" applyFont="1" applyFill="1" applyBorder="1" applyAlignment="1">
      <alignment horizontal="right"/>
    </xf>
    <xf numFmtId="165" fontId="6" fillId="4" borderId="30" xfId="18" applyNumberFormat="1" applyFont="1" applyFill="1" applyBorder="1" applyAlignment="1">
      <alignment horizontal="right"/>
    </xf>
    <xf numFmtId="9" fontId="6" fillId="4" borderId="15" xfId="15" applyFont="1" applyFill="1" applyBorder="1"/>
    <xf numFmtId="9" fontId="6" fillId="3" borderId="15" xfId="15" applyFont="1" applyFill="1" applyBorder="1"/>
    <xf numFmtId="43" fontId="6" fillId="3" borderId="15" xfId="18" applyFont="1" applyFill="1" applyBorder="1"/>
    <xf numFmtId="0" fontId="6" fillId="4" borderId="23" xfId="0" applyFont="1" applyFill="1" applyBorder="1"/>
    <xf numFmtId="165" fontId="6" fillId="4" borderId="16" xfId="18" applyNumberFormat="1" applyFont="1" applyFill="1" applyBorder="1"/>
    <xf numFmtId="9" fontId="6" fillId="0" borderId="16" xfId="15" applyFont="1" applyBorder="1"/>
    <xf numFmtId="9" fontId="6" fillId="3" borderId="17" xfId="15" applyFont="1" applyFill="1" applyBorder="1"/>
    <xf numFmtId="165" fontId="6" fillId="4" borderId="10" xfId="18" applyNumberFormat="1" applyFont="1" applyFill="1" applyBorder="1"/>
    <xf numFmtId="0" fontId="11" fillId="2" borderId="29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165" fontId="15" fillId="0" borderId="0" xfId="18" applyNumberFormat="1" applyFont="1"/>
    <xf numFmtId="166" fontId="7" fillId="0" borderId="25" xfId="16" applyNumberFormat="1" applyFont="1" applyFill="1" applyBorder="1"/>
    <xf numFmtId="0" fontId="16" fillId="0" borderId="0" xfId="0" applyFont="1"/>
    <xf numFmtId="0" fontId="11" fillId="2" borderId="2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Continuous" wrapText="1"/>
    </xf>
    <xf numFmtId="0" fontId="9" fillId="2" borderId="10" xfId="0" applyFont="1" applyFill="1" applyBorder="1" applyAlignment="1">
      <alignment horizontal="centerContinuous" wrapText="1"/>
    </xf>
    <xf numFmtId="0" fontId="9" fillId="2" borderId="12" xfId="0" applyFont="1" applyFill="1" applyBorder="1" applyAlignment="1">
      <alignment horizontal="centerContinuous" wrapText="1"/>
    </xf>
    <xf numFmtId="0" fontId="6" fillId="3" borderId="10" xfId="0" applyFont="1" applyFill="1" applyBorder="1" applyAlignment="1">
      <alignment horizontal="center"/>
    </xf>
    <xf numFmtId="9" fontId="6" fillId="0" borderId="14" xfId="15" applyNumberFormat="1" applyFont="1" applyBorder="1"/>
    <xf numFmtId="165" fontId="6" fillId="0" borderId="24" xfId="18" applyNumberFormat="1" applyFont="1" applyBorder="1"/>
    <xf numFmtId="166" fontId="6" fillId="0" borderId="24" xfId="16" applyNumberFormat="1" applyFont="1" applyBorder="1"/>
    <xf numFmtId="10" fontId="6" fillId="3" borderId="24" xfId="15" applyNumberFormat="1" applyFont="1" applyFill="1" applyBorder="1"/>
    <xf numFmtId="0" fontId="6" fillId="0" borderId="24" xfId="0" applyFont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10" fillId="2" borderId="19" xfId="0" applyFont="1" applyFill="1" applyBorder="1"/>
    <xf numFmtId="0" fontId="10" fillId="2" borderId="20" xfId="0" applyFont="1" applyFill="1" applyBorder="1"/>
    <xf numFmtId="0" fontId="6" fillId="2" borderId="22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9" fontId="6" fillId="0" borderId="17" xfId="15" applyFont="1" applyBorder="1"/>
    <xf numFmtId="165" fontId="6" fillId="4" borderId="30" xfId="18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/>
    <xf numFmtId="0" fontId="6" fillId="3" borderId="16" xfId="0" applyFont="1" applyFill="1" applyBorder="1" applyAlignment="1">
      <alignment horizontal="center"/>
    </xf>
    <xf numFmtId="165" fontId="7" fillId="0" borderId="17" xfId="18" applyNumberFormat="1" applyFont="1" applyBorder="1"/>
    <xf numFmtId="166" fontId="7" fillId="3" borderId="17" xfId="16" applyNumberFormat="1" applyFont="1" applyFill="1" applyBorder="1"/>
    <xf numFmtId="9" fontId="3" fillId="0" borderId="0" xfId="15" applyFont="1"/>
    <xf numFmtId="165" fontId="5" fillId="0" borderId="0" xfId="0" applyNumberFormat="1" applyFont="1"/>
    <xf numFmtId="0" fontId="18" fillId="0" borderId="0" xfId="0" applyFont="1" applyAlignment="1">
      <alignment horizontal="right"/>
    </xf>
    <xf numFmtId="0" fontId="18" fillId="0" borderId="33" xfId="0" applyFont="1" applyBorder="1"/>
    <xf numFmtId="0" fontId="18" fillId="0" borderId="0" xfId="0" applyFont="1" applyBorder="1" applyAlignment="1">
      <alignment horizontal="right"/>
    </xf>
    <xf numFmtId="0" fontId="18" fillId="0" borderId="34" xfId="0" applyFont="1" applyBorder="1"/>
    <xf numFmtId="0" fontId="18" fillId="0" borderId="0" xfId="0" applyFont="1"/>
    <xf numFmtId="0" fontId="19" fillId="0" borderId="23" xfId="0" applyFont="1" applyBorder="1"/>
    <xf numFmtId="0" fontId="5" fillId="0" borderId="23" xfId="0" applyFont="1" applyBorder="1"/>
    <xf numFmtId="0" fontId="18" fillId="0" borderId="23" xfId="0" applyFont="1" applyBorder="1" applyAlignment="1">
      <alignment horizontal="right"/>
    </xf>
    <xf numFmtId="0" fontId="18" fillId="0" borderId="35" xfId="0" applyFont="1" applyBorder="1"/>
    <xf numFmtId="0" fontId="18" fillId="0" borderId="36" xfId="0" applyFont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165" fontId="5" fillId="0" borderId="0" xfId="18" applyNumberFormat="1" applyFont="1"/>
    <xf numFmtId="166" fontId="5" fillId="0" borderId="0" xfId="16" applyNumberFormat="1" applyFont="1"/>
    <xf numFmtId="165" fontId="5" fillId="0" borderId="33" xfId="18" applyNumberFormat="1" applyFont="1" applyBorder="1"/>
    <xf numFmtId="166" fontId="5" fillId="0" borderId="0" xfId="16" applyNumberFormat="1" applyFont="1" applyBorder="1"/>
    <xf numFmtId="166" fontId="20" fillId="0" borderId="34" xfId="16" applyNumberFormat="1" applyFont="1" applyBorder="1" applyAlignment="1" quotePrefix="1">
      <alignment vertical="top"/>
    </xf>
    <xf numFmtId="0" fontId="5" fillId="0" borderId="0" xfId="0" applyFont="1" applyAlignment="1">
      <alignment horizontal="right"/>
    </xf>
    <xf numFmtId="9" fontId="5" fillId="0" borderId="0" xfId="15" applyNumberFormat="1" applyFont="1"/>
    <xf numFmtId="165" fontId="5" fillId="0" borderId="0" xfId="18" applyNumberFormat="1" applyFont="1" applyAlignment="1">
      <alignment horizontal="right"/>
    </xf>
    <xf numFmtId="165" fontId="5" fillId="0" borderId="0" xfId="18" applyNumberFormat="1" applyFont="1" applyBorder="1" applyAlignment="1">
      <alignment horizontal="right"/>
    </xf>
    <xf numFmtId="165" fontId="5" fillId="0" borderId="34" xfId="18" applyNumberFormat="1" applyFont="1" applyBorder="1" applyAlignment="1">
      <alignment horizontal="right"/>
    </xf>
    <xf numFmtId="165" fontId="5" fillId="0" borderId="23" xfId="18" applyNumberFormat="1" applyFont="1" applyBorder="1" applyAlignment="1">
      <alignment horizontal="right"/>
    </xf>
    <xf numFmtId="165" fontId="5" fillId="0" borderId="35" xfId="18" applyNumberFormat="1" applyFont="1" applyBorder="1"/>
    <xf numFmtId="165" fontId="5" fillId="0" borderId="36" xfId="18" applyNumberFormat="1" applyFont="1" applyBorder="1" applyAlignment="1">
      <alignment horizontal="right"/>
    </xf>
    <xf numFmtId="165" fontId="5" fillId="0" borderId="35" xfId="18" applyNumberFormat="1" applyFont="1" applyBorder="1" applyAlignment="1">
      <alignment horizontal="right"/>
    </xf>
    <xf numFmtId="9" fontId="5" fillId="0" borderId="0" xfId="15" applyFont="1" applyAlignment="1">
      <alignment horizontal="right"/>
    </xf>
    <xf numFmtId="0" fontId="21" fillId="0" borderId="0" xfId="0" applyFont="1"/>
    <xf numFmtId="166" fontId="5" fillId="0" borderId="37" xfId="16" applyNumberFormat="1" applyFont="1" applyBorder="1" applyAlignment="1">
      <alignment horizontal="right"/>
    </xf>
    <xf numFmtId="0" fontId="5" fillId="0" borderId="38" xfId="0" applyFont="1" applyBorder="1"/>
    <xf numFmtId="166" fontId="5" fillId="0" borderId="39" xfId="16" applyNumberFormat="1" applyFont="1" applyBorder="1" applyAlignment="1">
      <alignment horizontal="right"/>
    </xf>
    <xf numFmtId="165" fontId="5" fillId="0" borderId="37" xfId="18" applyNumberFormat="1" applyFont="1" applyBorder="1" applyAlignment="1">
      <alignment horizontal="right"/>
    </xf>
    <xf numFmtId="167" fontId="5" fillId="0" borderId="0" xfId="15" applyNumberFormat="1" applyFont="1" applyAlignment="1">
      <alignment horizontal="right"/>
    </xf>
    <xf numFmtId="43" fontId="5" fillId="0" borderId="0" xfId="18" applyFont="1"/>
    <xf numFmtId="166" fontId="5" fillId="0" borderId="34" xfId="16" applyNumberFormat="1" applyFont="1" applyBorder="1"/>
    <xf numFmtId="165" fontId="22" fillId="0" borderId="0" xfId="18" applyNumberFormat="1" applyFont="1"/>
    <xf numFmtId="9" fontId="5" fillId="0" borderId="0" xfId="0" applyNumberFormat="1" applyFont="1" applyAlignment="1">
      <alignment horizontal="right"/>
    </xf>
    <xf numFmtId="43" fontId="5" fillId="0" borderId="23" xfId="18" applyFont="1" applyBorder="1"/>
    <xf numFmtId="166" fontId="20" fillId="0" borderId="36" xfId="16" applyNumberFormat="1" applyFont="1" applyBorder="1" applyAlignment="1" quotePrefix="1">
      <alignment vertical="top"/>
    </xf>
    <xf numFmtId="9" fontId="5" fillId="0" borderId="23" xfId="0" applyNumberFormat="1" applyFont="1" applyBorder="1" applyAlignment="1">
      <alignment horizontal="right"/>
    </xf>
    <xf numFmtId="166" fontId="5" fillId="0" borderId="0" xfId="16" applyNumberFormat="1" applyFont="1" applyBorder="1" applyAlignment="1">
      <alignment horizontal="right"/>
    </xf>
    <xf numFmtId="167" fontId="5" fillId="0" borderId="0" xfId="15" applyNumberFormat="1" applyFont="1" applyAlignment="1">
      <alignment horizontal="left"/>
    </xf>
    <xf numFmtId="166" fontId="20" fillId="0" borderId="0" xfId="16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17" fillId="0" borderId="0" xfId="0" applyNumberFormat="1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165" fontId="3" fillId="0" borderId="0" xfId="0" applyNumberFormat="1" applyFont="1"/>
    <xf numFmtId="166" fontId="5" fillId="0" borderId="0" xfId="16" applyNumberFormat="1" applyFont="1" applyAlignment="1">
      <alignment horizontal="right"/>
    </xf>
    <xf numFmtId="0" fontId="11" fillId="2" borderId="2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1" fillId="2" borderId="29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2</xdr:col>
      <xdr:colOff>438150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57175"/>
          <a:ext cx="24003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</xdr:col>
      <xdr:colOff>2400300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57175"/>
          <a:ext cx="24003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</xdr:col>
      <xdr:colOff>2400300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57175"/>
          <a:ext cx="240030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60"/>
  <sheetViews>
    <sheetView workbookViewId="0" topLeftCell="A94">
      <selection activeCell="D126" sqref="D126"/>
    </sheetView>
  </sheetViews>
  <sheetFormatPr defaultColWidth="8.8515625" defaultRowHeight="15"/>
  <cols>
    <col min="1" max="1" width="2.421875" style="1" customWidth="1"/>
    <col min="2" max="2" width="29.421875" style="1" customWidth="1"/>
    <col min="3" max="3" width="18.421875" style="1" customWidth="1"/>
    <col min="4" max="4" width="18.00390625" style="1" customWidth="1"/>
    <col min="5" max="6" width="21.7109375" style="1" customWidth="1"/>
    <col min="7" max="7" width="3.00390625" style="1" customWidth="1"/>
    <col min="8" max="10" width="8.8515625" style="1" customWidth="1"/>
    <col min="11" max="11" width="13.140625" style="1" bestFit="1" customWidth="1"/>
    <col min="12" max="12" width="11.421875" style="1" customWidth="1"/>
    <col min="13" max="16384" width="8.8515625" style="1" customWidth="1"/>
  </cols>
  <sheetData>
    <row r="1" spans="1:7" s="7" customFormat="1" ht="17" thickBot="1">
      <c r="A1" s="13"/>
      <c r="B1" s="13"/>
      <c r="C1" s="13"/>
      <c r="D1" s="13"/>
      <c r="E1" s="13"/>
      <c r="F1" s="13"/>
      <c r="G1" s="13"/>
    </row>
    <row r="2" spans="1:7" ht="18.75">
      <c r="A2" s="6"/>
      <c r="B2" s="7"/>
      <c r="C2" s="7"/>
      <c r="D2" s="7"/>
      <c r="E2" s="7"/>
      <c r="F2" s="7"/>
      <c r="G2" s="8"/>
    </row>
    <row r="3" spans="1:7" ht="18.75">
      <c r="A3" s="6"/>
      <c r="B3" s="7"/>
      <c r="C3" s="7"/>
      <c r="D3" s="7"/>
      <c r="E3" s="7"/>
      <c r="F3" s="7"/>
      <c r="G3" s="8"/>
    </row>
    <row r="4" spans="1:7" ht="18.75">
      <c r="A4" s="6"/>
      <c r="B4" s="7"/>
      <c r="C4" s="7"/>
      <c r="D4" s="7"/>
      <c r="E4" s="7"/>
      <c r="F4" s="7"/>
      <c r="G4" s="8"/>
    </row>
    <row r="5" spans="1:7" ht="18.75">
      <c r="A5" s="6"/>
      <c r="B5" s="7"/>
      <c r="C5" s="7"/>
      <c r="D5" s="7"/>
      <c r="E5" s="7"/>
      <c r="F5" s="7"/>
      <c r="G5" s="8"/>
    </row>
    <row r="6" spans="1:7" ht="18.75">
      <c r="A6" s="6"/>
      <c r="B6" s="7"/>
      <c r="C6" s="7"/>
      <c r="D6" s="7"/>
      <c r="E6" s="7"/>
      <c r="F6" s="7"/>
      <c r="G6" s="8"/>
    </row>
    <row r="7" spans="1:7" ht="15">
      <c r="A7" s="9"/>
      <c r="B7" s="10"/>
      <c r="C7" s="10"/>
      <c r="D7" s="10"/>
      <c r="E7" s="10"/>
      <c r="F7" s="10"/>
      <c r="G7" s="11"/>
    </row>
    <row r="8" spans="1:7" ht="27">
      <c r="A8" s="236" t="s">
        <v>0</v>
      </c>
      <c r="B8" s="237"/>
      <c r="C8" s="237"/>
      <c r="D8" s="237"/>
      <c r="E8" s="237"/>
      <c r="F8" s="237"/>
      <c r="G8" s="238"/>
    </row>
    <row r="9" spans="1:7" ht="24">
      <c r="A9" s="239" t="s">
        <v>62</v>
      </c>
      <c r="B9" s="240"/>
      <c r="C9" s="240"/>
      <c r="D9" s="240"/>
      <c r="E9" s="240"/>
      <c r="F9" s="240"/>
      <c r="G9" s="241"/>
    </row>
    <row r="10" spans="1:7" ht="24">
      <c r="A10" s="239" t="s">
        <v>1</v>
      </c>
      <c r="B10" s="240"/>
      <c r="C10" s="240"/>
      <c r="D10" s="240"/>
      <c r="E10" s="240"/>
      <c r="F10" s="240"/>
      <c r="G10" s="241"/>
    </row>
    <row r="11" spans="1:7" ht="27">
      <c r="A11" s="236" t="s">
        <v>3</v>
      </c>
      <c r="B11" s="237"/>
      <c r="C11" s="237"/>
      <c r="D11" s="237"/>
      <c r="E11" s="237"/>
      <c r="F11" s="237"/>
      <c r="G11" s="238"/>
    </row>
    <row r="12" spans="1:9" ht="24">
      <c r="A12" s="129">
        <v>41725</v>
      </c>
      <c r="B12" s="242">
        <v>41726</v>
      </c>
      <c r="C12" s="242"/>
      <c r="D12" s="242"/>
      <c r="E12" s="242"/>
      <c r="F12" s="242"/>
      <c r="G12" s="243"/>
      <c r="I12" s="1" t="s">
        <v>61</v>
      </c>
    </row>
    <row r="13" spans="1:7" ht="24">
      <c r="A13" s="239" t="s">
        <v>2</v>
      </c>
      <c r="B13" s="240"/>
      <c r="C13" s="240"/>
      <c r="D13" s="240"/>
      <c r="E13" s="240"/>
      <c r="F13" s="240"/>
      <c r="G13" s="241"/>
    </row>
    <row r="14" spans="1:7" ht="24">
      <c r="A14" s="239"/>
      <c r="B14" s="240"/>
      <c r="C14" s="240"/>
      <c r="D14" s="240"/>
      <c r="E14" s="240"/>
      <c r="F14" s="240"/>
      <c r="G14" s="241"/>
    </row>
    <row r="15" spans="1:7" ht="17">
      <c r="A15" s="39"/>
      <c r="B15" s="40"/>
      <c r="C15" s="40"/>
      <c r="D15" s="40"/>
      <c r="E15" s="40"/>
      <c r="F15" s="40"/>
      <c r="G15" s="41"/>
    </row>
    <row r="16" spans="1:7" ht="15">
      <c r="A16" s="6"/>
      <c r="B16" s="7"/>
      <c r="C16" s="7"/>
      <c r="D16" s="7"/>
      <c r="E16" s="7"/>
      <c r="F16" s="7"/>
      <c r="G16" s="8"/>
    </row>
    <row r="17" spans="1:7" ht="17" thickBot="1">
      <c r="A17" s="12"/>
      <c r="B17" s="13"/>
      <c r="C17" s="13"/>
      <c r="D17" s="13"/>
      <c r="E17" s="13"/>
      <c r="F17" s="13"/>
      <c r="G17" s="14"/>
    </row>
    <row r="18" spans="1:7" ht="15">
      <c r="A18" s="7"/>
      <c r="B18" s="7"/>
      <c r="C18" s="7"/>
      <c r="D18" s="7"/>
      <c r="E18" s="7"/>
      <c r="F18" s="7"/>
      <c r="G18" s="7"/>
    </row>
    <row r="19" spans="1:7" ht="15">
      <c r="A19" s="7"/>
      <c r="B19" s="7"/>
      <c r="C19" s="7"/>
      <c r="D19" s="7"/>
      <c r="E19" s="7"/>
      <c r="F19" s="7"/>
      <c r="G19" s="7"/>
    </row>
    <row r="20" ht="16.5" customHeight="1" thickBot="1"/>
    <row r="21" spans="1:7" ht="20">
      <c r="A21" s="3"/>
      <c r="B21" s="244" t="s">
        <v>53</v>
      </c>
      <c r="C21" s="244"/>
      <c r="D21" s="244"/>
      <c r="E21" s="244"/>
      <c r="F21" s="244"/>
      <c r="G21" s="5"/>
    </row>
    <row r="22" spans="1:7" s="2" customFormat="1" ht="15">
      <c r="A22" s="9"/>
      <c r="B22" s="16"/>
      <c r="C22" s="16" t="s">
        <v>5</v>
      </c>
      <c r="D22" s="16" t="s">
        <v>7</v>
      </c>
      <c r="E22" s="16" t="s">
        <v>12</v>
      </c>
      <c r="F22" s="17" t="s">
        <v>10</v>
      </c>
      <c r="G22" s="15"/>
    </row>
    <row r="23" spans="1:7" s="2" customFormat="1" ht="15" thickBot="1">
      <c r="A23" s="9"/>
      <c r="B23" s="18" t="s">
        <v>4</v>
      </c>
      <c r="C23" s="18" t="s">
        <v>6</v>
      </c>
      <c r="D23" s="18" t="s">
        <v>8</v>
      </c>
      <c r="E23" s="18" t="s">
        <v>9</v>
      </c>
      <c r="F23" s="19" t="s">
        <v>11</v>
      </c>
      <c r="G23" s="15"/>
    </row>
    <row r="24" spans="1:7" s="2" customFormat="1" ht="17">
      <c r="A24" s="9"/>
      <c r="B24" s="28"/>
      <c r="C24" s="20"/>
      <c r="D24" s="20"/>
      <c r="E24" s="20"/>
      <c r="F24" s="21"/>
      <c r="G24" s="11"/>
    </row>
    <row r="25" spans="1:7" s="2" customFormat="1" ht="17">
      <c r="A25" s="9"/>
      <c r="B25" s="36" t="s">
        <v>54</v>
      </c>
      <c r="C25" s="22"/>
      <c r="D25" s="22"/>
      <c r="E25" s="22"/>
      <c r="F25" s="23"/>
      <c r="G25" s="11"/>
    </row>
    <row r="26" spans="1:7" s="2" customFormat="1" ht="25.5" customHeight="1">
      <c r="A26" s="9"/>
      <c r="B26" s="37" t="s">
        <v>17</v>
      </c>
      <c r="C26" s="24">
        <f>2700*0.75</f>
        <v>2025</v>
      </c>
      <c r="D26" s="24">
        <v>2519</v>
      </c>
      <c r="E26" s="24">
        <f>+D26-C26</f>
        <v>494</v>
      </c>
      <c r="F26" s="25">
        <f>+D26/C26</f>
        <v>1.2439506172839505</v>
      </c>
      <c r="G26" s="11"/>
    </row>
    <row r="27" spans="1:8" s="2" customFormat="1" ht="25.5" customHeight="1">
      <c r="A27" s="9"/>
      <c r="B27" s="32" t="s">
        <v>16</v>
      </c>
      <c r="C27" s="26">
        <f>2700-C26</f>
        <v>675</v>
      </c>
      <c r="D27" s="26">
        <v>905</v>
      </c>
      <c r="E27" s="26">
        <f>+D27-C27</f>
        <v>230</v>
      </c>
      <c r="F27" s="27">
        <f>+D27/C27</f>
        <v>1.3407407407407408</v>
      </c>
      <c r="G27" s="11"/>
      <c r="H27" s="130"/>
    </row>
    <row r="28" spans="1:7" s="2" customFormat="1" ht="30" customHeight="1" thickBot="1">
      <c r="A28" s="9"/>
      <c r="B28" s="38" t="s">
        <v>58</v>
      </c>
      <c r="C28" s="111">
        <f>SUM(C26:C27)</f>
        <v>2700</v>
      </c>
      <c r="D28" s="111">
        <f>SUM(D26:D27)</f>
        <v>3424</v>
      </c>
      <c r="E28" s="111">
        <f>SUM(E26:E27)</f>
        <v>724</v>
      </c>
      <c r="F28" s="112">
        <f>+D28/C28</f>
        <v>1.2681481481481482</v>
      </c>
      <c r="G28" s="11"/>
    </row>
    <row r="29" spans="1:7" s="2" customFormat="1" ht="18" thickTop="1">
      <c r="A29" s="9"/>
      <c r="B29" s="28"/>
      <c r="C29" s="28"/>
      <c r="D29" s="28"/>
      <c r="E29" s="28"/>
      <c r="F29" s="29"/>
      <c r="G29" s="11"/>
    </row>
    <row r="30" spans="1:7" s="2" customFormat="1" ht="17">
      <c r="A30" s="9"/>
      <c r="B30" s="36" t="s">
        <v>13</v>
      </c>
      <c r="C30" s="28"/>
      <c r="D30" s="28"/>
      <c r="E30" s="28"/>
      <c r="F30" s="29"/>
      <c r="G30" s="11"/>
    </row>
    <row r="31" spans="1:7" s="2" customFormat="1" ht="25.5" customHeight="1">
      <c r="A31" s="9"/>
      <c r="B31" s="37" t="s">
        <v>17</v>
      </c>
      <c r="C31" s="30">
        <f>+C26*390</f>
        <v>789750</v>
      </c>
      <c r="D31" s="30">
        <v>1421126</v>
      </c>
      <c r="E31" s="30">
        <f>+D31-C31</f>
        <v>631376</v>
      </c>
      <c r="F31" s="25">
        <f>+D31/C31</f>
        <v>1.799463121240899</v>
      </c>
      <c r="G31" s="11"/>
    </row>
    <row r="32" spans="1:7" s="2" customFormat="1" ht="25.5" customHeight="1">
      <c r="A32" s="9"/>
      <c r="B32" s="32" t="s">
        <v>16</v>
      </c>
      <c r="C32" s="26">
        <f>+C27*390</f>
        <v>263250</v>
      </c>
      <c r="D32" s="26">
        <v>188715</v>
      </c>
      <c r="E32" s="26">
        <f>+D32-C32</f>
        <v>-74535</v>
      </c>
      <c r="F32" s="27">
        <f>+D32/C32</f>
        <v>0.7168660968660968</v>
      </c>
      <c r="G32" s="11"/>
    </row>
    <row r="33" spans="1:7" s="2" customFormat="1" ht="30" customHeight="1" thickBot="1">
      <c r="A33" s="9"/>
      <c r="B33" s="38" t="s">
        <v>59</v>
      </c>
      <c r="C33" s="113">
        <f>SUM(C31:C32)</f>
        <v>1053000</v>
      </c>
      <c r="D33" s="113">
        <f>SUM(D31:D32)</f>
        <v>1609841</v>
      </c>
      <c r="E33" s="113">
        <f>SUM(E31:E32)</f>
        <v>556841</v>
      </c>
      <c r="F33" s="112">
        <f>+D33/C33</f>
        <v>1.5288138651471985</v>
      </c>
      <c r="G33" s="11"/>
    </row>
    <row r="34" spans="1:7" s="2" customFormat="1" ht="25.5" customHeight="1" thickTop="1">
      <c r="A34" s="9"/>
      <c r="B34" s="32"/>
      <c r="C34" s="50"/>
      <c r="D34" s="50"/>
      <c r="E34" s="50"/>
      <c r="F34" s="57"/>
      <c r="G34" s="11"/>
    </row>
    <row r="35" spans="1:7" s="2" customFormat="1" ht="25.5" customHeight="1">
      <c r="A35" s="9"/>
      <c r="B35" s="34" t="s">
        <v>14</v>
      </c>
      <c r="C35" s="34">
        <v>75</v>
      </c>
      <c r="D35" s="34">
        <v>82</v>
      </c>
      <c r="E35" s="34">
        <f>+D35-C35</f>
        <v>7</v>
      </c>
      <c r="F35" s="35">
        <f>+D35/C35</f>
        <v>1.0933333333333333</v>
      </c>
      <c r="G35" s="11"/>
    </row>
    <row r="36" spans="1:7" s="2" customFormat="1" ht="25.5" customHeight="1">
      <c r="A36" s="9"/>
      <c r="B36" s="32" t="s">
        <v>15</v>
      </c>
      <c r="C36" s="32">
        <v>11</v>
      </c>
      <c r="D36" s="32">
        <v>12</v>
      </c>
      <c r="E36" s="32">
        <f>+D36-C36</f>
        <v>1</v>
      </c>
      <c r="F36" s="27">
        <f>+D36/C36</f>
        <v>1.0909090909090908</v>
      </c>
      <c r="G36" s="11"/>
    </row>
    <row r="37" spans="1:7" ht="17" thickBot="1">
      <c r="A37" s="12"/>
      <c r="B37" s="13"/>
      <c r="C37" s="13"/>
      <c r="D37" s="13"/>
      <c r="E37" s="13"/>
      <c r="F37" s="13"/>
      <c r="G37" s="14"/>
    </row>
    <row r="38" ht="60" customHeight="1" thickBot="1"/>
    <row r="39" spans="1:7" ht="30.75" customHeight="1">
      <c r="A39" s="3"/>
      <c r="B39" s="244" t="s">
        <v>52</v>
      </c>
      <c r="C39" s="244"/>
      <c r="D39" s="244"/>
      <c r="E39" s="244"/>
      <c r="F39" s="244"/>
      <c r="G39" s="5"/>
    </row>
    <row r="40" spans="1:7" s="2" customFormat="1" ht="15">
      <c r="A40" s="9"/>
      <c r="B40" s="16"/>
      <c r="C40" s="16" t="s">
        <v>5</v>
      </c>
      <c r="D40" s="16" t="s">
        <v>7</v>
      </c>
      <c r="E40" s="16" t="s">
        <v>12</v>
      </c>
      <c r="F40" s="17" t="s">
        <v>10</v>
      </c>
      <c r="G40" s="15"/>
    </row>
    <row r="41" spans="1:7" s="2" customFormat="1" ht="15" thickBot="1">
      <c r="A41" s="9"/>
      <c r="B41" s="18" t="s">
        <v>4</v>
      </c>
      <c r="C41" s="18" t="s">
        <v>6</v>
      </c>
      <c r="D41" s="18" t="s">
        <v>8</v>
      </c>
      <c r="E41" s="18" t="s">
        <v>9</v>
      </c>
      <c r="F41" s="19" t="s">
        <v>11</v>
      </c>
      <c r="G41" s="15"/>
    </row>
    <row r="42" spans="1:7" s="2" customFormat="1" ht="22.5" customHeight="1">
      <c r="A42" s="9"/>
      <c r="B42" s="36"/>
      <c r="C42" s="22"/>
      <c r="D42" s="22"/>
      <c r="E42" s="22"/>
      <c r="F42" s="23"/>
      <c r="G42" s="11"/>
    </row>
    <row r="43" spans="1:7" s="2" customFormat="1" ht="25.5" customHeight="1">
      <c r="A43" s="9"/>
      <c r="B43" s="43" t="s">
        <v>18</v>
      </c>
      <c r="C43" s="24">
        <v>2650</v>
      </c>
      <c r="D43" s="24">
        <v>2173</v>
      </c>
      <c r="E43" s="24">
        <f>+D43-C43</f>
        <v>-477</v>
      </c>
      <c r="F43" s="25">
        <f>+D43/C43</f>
        <v>0.82</v>
      </c>
      <c r="G43" s="11"/>
    </row>
    <row r="44" spans="1:7" s="2" customFormat="1" ht="25.5" customHeight="1">
      <c r="A44" s="9"/>
      <c r="B44" s="44"/>
      <c r="C44" s="26"/>
      <c r="D44" s="26"/>
      <c r="E44" s="26"/>
      <c r="F44" s="27"/>
      <c r="G44" s="11"/>
    </row>
    <row r="45" spans="1:7" s="2" customFormat="1" ht="30" customHeight="1">
      <c r="A45" s="9"/>
      <c r="B45" s="43" t="s">
        <v>19</v>
      </c>
      <c r="C45" s="24">
        <v>2300</v>
      </c>
      <c r="D45" s="24">
        <v>2158</v>
      </c>
      <c r="E45" s="24">
        <f>+D45-C45</f>
        <v>-142</v>
      </c>
      <c r="F45" s="25">
        <f aca="true" t="shared" si="0" ref="F45:F52">+D45/C45</f>
        <v>0.9382608695652174</v>
      </c>
      <c r="G45" s="11"/>
    </row>
    <row r="46" spans="1:7" s="2" customFormat="1" ht="25.5" customHeight="1">
      <c r="A46" s="9"/>
      <c r="B46" s="44" t="s">
        <v>20</v>
      </c>
      <c r="C46" s="26">
        <v>1700</v>
      </c>
      <c r="D46" s="26">
        <v>3481</v>
      </c>
      <c r="E46" s="26">
        <f aca="true" t="shared" si="1" ref="E46:E52">+D46-C46</f>
        <v>1781</v>
      </c>
      <c r="F46" s="27">
        <f t="shared" si="0"/>
        <v>2.0476470588235296</v>
      </c>
      <c r="G46" s="11"/>
    </row>
    <row r="47" spans="1:7" s="2" customFormat="1" ht="30" customHeight="1">
      <c r="A47" s="9"/>
      <c r="B47" s="45" t="s">
        <v>21</v>
      </c>
      <c r="C47" s="24">
        <v>2700</v>
      </c>
      <c r="D47" s="24">
        <v>1943</v>
      </c>
      <c r="E47" s="24">
        <f t="shared" si="1"/>
        <v>-757</v>
      </c>
      <c r="F47" s="25">
        <f t="shared" si="0"/>
        <v>0.7196296296296296</v>
      </c>
      <c r="G47" s="11"/>
    </row>
    <row r="48" spans="1:7" s="2" customFormat="1" ht="30" customHeight="1">
      <c r="A48" s="9"/>
      <c r="B48" s="44" t="s">
        <v>22</v>
      </c>
      <c r="C48" s="26">
        <v>3300</v>
      </c>
      <c r="D48" s="26">
        <v>2572</v>
      </c>
      <c r="E48" s="26">
        <f t="shared" si="1"/>
        <v>-728</v>
      </c>
      <c r="F48" s="27">
        <f t="shared" si="0"/>
        <v>0.7793939393939394</v>
      </c>
      <c r="G48" s="11"/>
    </row>
    <row r="49" spans="1:7" s="2" customFormat="1" ht="30" customHeight="1">
      <c r="A49" s="9"/>
      <c r="B49" s="45" t="s">
        <v>23</v>
      </c>
      <c r="C49" s="24">
        <v>4200</v>
      </c>
      <c r="D49" s="24">
        <v>3974</v>
      </c>
      <c r="E49" s="24">
        <f t="shared" si="1"/>
        <v>-226</v>
      </c>
      <c r="F49" s="25">
        <f t="shared" si="0"/>
        <v>0.9461904761904761</v>
      </c>
      <c r="G49" s="11"/>
    </row>
    <row r="50" spans="1:7" s="2" customFormat="1" ht="30" customHeight="1">
      <c r="A50" s="9"/>
      <c r="B50" s="44" t="s">
        <v>24</v>
      </c>
      <c r="C50" s="26">
        <v>4000</v>
      </c>
      <c r="D50" s="26">
        <v>4537</v>
      </c>
      <c r="E50" s="26">
        <f t="shared" si="1"/>
        <v>537</v>
      </c>
      <c r="F50" s="27">
        <f t="shared" si="0"/>
        <v>1.13425</v>
      </c>
      <c r="G50" s="11"/>
    </row>
    <row r="51" spans="1:7" s="2" customFormat="1" ht="30" customHeight="1">
      <c r="A51" s="9"/>
      <c r="B51" s="45" t="s">
        <v>25</v>
      </c>
      <c r="C51" s="24">
        <v>4145</v>
      </c>
      <c r="D51" s="24">
        <v>4179</v>
      </c>
      <c r="E51" s="24">
        <f t="shared" si="1"/>
        <v>34</v>
      </c>
      <c r="F51" s="25">
        <f t="shared" si="0"/>
        <v>1.0082026537997588</v>
      </c>
      <c r="G51" s="11"/>
    </row>
    <row r="52" spans="1:7" s="2" customFormat="1" ht="30" customHeight="1">
      <c r="A52" s="9"/>
      <c r="B52" s="44" t="s">
        <v>26</v>
      </c>
      <c r="C52" s="26">
        <v>3600</v>
      </c>
      <c r="D52" s="26">
        <v>4997</v>
      </c>
      <c r="E52" s="26">
        <f t="shared" si="1"/>
        <v>1397</v>
      </c>
      <c r="F52" s="27">
        <f t="shared" si="0"/>
        <v>1.3880555555555556</v>
      </c>
      <c r="G52" s="11"/>
    </row>
    <row r="53" spans="1:7" ht="17" thickBot="1">
      <c r="A53" s="12"/>
      <c r="B53" s="13"/>
      <c r="C53" s="13"/>
      <c r="D53" s="13"/>
      <c r="E53" s="13"/>
      <c r="F53" s="13"/>
      <c r="G53" s="14"/>
    </row>
    <row r="54" s="7" customFormat="1" ht="60" customHeight="1" thickBot="1"/>
    <row r="55" spans="1:7" ht="15">
      <c r="A55" s="3"/>
      <c r="B55" s="4"/>
      <c r="C55" s="4"/>
      <c r="D55" s="4"/>
      <c r="E55" s="4"/>
      <c r="F55" s="4"/>
      <c r="G55" s="5"/>
    </row>
    <row r="56" spans="1:12" s="2" customFormat="1" ht="15">
      <c r="A56" s="9"/>
      <c r="B56" s="16"/>
      <c r="C56" s="16" t="s">
        <v>5</v>
      </c>
      <c r="D56" s="16" t="s">
        <v>7</v>
      </c>
      <c r="E56" s="16" t="s">
        <v>12</v>
      </c>
      <c r="F56" s="17" t="s">
        <v>10</v>
      </c>
      <c r="G56" s="15"/>
      <c r="H56"/>
      <c r="I56"/>
      <c r="J56"/>
      <c r="K56"/>
      <c r="L56"/>
    </row>
    <row r="57" spans="1:12" s="2" customFormat="1" ht="15" thickBot="1">
      <c r="A57" s="9"/>
      <c r="B57" s="18" t="s">
        <v>4</v>
      </c>
      <c r="C57" s="18" t="s">
        <v>6</v>
      </c>
      <c r="D57" s="18" t="s">
        <v>8</v>
      </c>
      <c r="E57" s="18" t="s">
        <v>9</v>
      </c>
      <c r="F57" s="19" t="s">
        <v>11</v>
      </c>
      <c r="G57" s="15"/>
      <c r="H57"/>
      <c r="I57"/>
      <c r="J57"/>
      <c r="K57"/>
      <c r="L57"/>
    </row>
    <row r="58" spans="1:12" s="2" customFormat="1" ht="17">
      <c r="A58" s="9"/>
      <c r="B58" s="47"/>
      <c r="C58" s="20"/>
      <c r="D58" s="20"/>
      <c r="E58" s="20"/>
      <c r="F58" s="21"/>
      <c r="G58" s="11"/>
      <c r="H58"/>
      <c r="I58"/>
      <c r="J58"/>
      <c r="K58"/>
      <c r="L58"/>
    </row>
    <row r="59" spans="1:12" s="2" customFormat="1" ht="21" customHeight="1">
      <c r="A59" s="9"/>
      <c r="B59" s="50" t="s">
        <v>78</v>
      </c>
      <c r="C59" s="48"/>
      <c r="D59" s="48"/>
      <c r="E59" s="48"/>
      <c r="F59" s="49"/>
      <c r="G59" s="11"/>
      <c r="H59"/>
      <c r="I59"/>
      <c r="J59"/>
      <c r="K59"/>
      <c r="L59"/>
    </row>
    <row r="60" spans="1:12" s="2" customFormat="1" ht="30" customHeight="1">
      <c r="A60" s="9"/>
      <c r="B60" s="120" t="s">
        <v>74</v>
      </c>
      <c r="C60" s="79">
        <v>65000</v>
      </c>
      <c r="D60" s="24">
        <v>92500</v>
      </c>
      <c r="E60" s="24">
        <f aca="true" t="shared" si="2" ref="E60:E62">+D60-C60</f>
        <v>27500</v>
      </c>
      <c r="F60" s="25">
        <f aca="true" t="shared" si="3" ref="F60:F63">+D60/C60</f>
        <v>1.4230769230769231</v>
      </c>
      <c r="G60" s="11"/>
      <c r="H60"/>
      <c r="I60"/>
      <c r="J60"/>
      <c r="K60"/>
      <c r="L60"/>
    </row>
    <row r="61" spans="1:12" s="2" customFormat="1" ht="30" customHeight="1">
      <c r="A61" s="9"/>
      <c r="B61" s="50" t="s">
        <v>75</v>
      </c>
      <c r="C61" s="64">
        <v>4500</v>
      </c>
      <c r="D61" s="64">
        <v>8375</v>
      </c>
      <c r="E61" s="147">
        <f t="shared" si="2"/>
        <v>3875</v>
      </c>
      <c r="F61" s="69">
        <f t="shared" si="3"/>
        <v>1.8611111111111112</v>
      </c>
      <c r="G61" s="11"/>
      <c r="H61"/>
      <c r="I61"/>
      <c r="J61"/>
      <c r="K61"/>
      <c r="L61"/>
    </row>
    <row r="62" spans="1:12" s="2" customFormat="1" ht="30" customHeight="1">
      <c r="A62" s="9"/>
      <c r="B62" s="120" t="s">
        <v>76</v>
      </c>
      <c r="C62" s="79">
        <v>4000</v>
      </c>
      <c r="D62" s="24">
        <v>69255</v>
      </c>
      <c r="E62" s="24">
        <f t="shared" si="2"/>
        <v>65255</v>
      </c>
      <c r="F62" s="25">
        <f t="shared" si="3"/>
        <v>17.31375</v>
      </c>
      <c r="G62" s="11"/>
      <c r="H62"/>
      <c r="I62"/>
      <c r="J62"/>
      <c r="K62"/>
      <c r="L62"/>
    </row>
    <row r="63" spans="1:12" s="2" customFormat="1" ht="30" customHeight="1">
      <c r="A63" s="9"/>
      <c r="B63" s="50" t="s">
        <v>77</v>
      </c>
      <c r="C63" s="74">
        <f>SUM(C59:C62)</f>
        <v>73500</v>
      </c>
      <c r="D63" s="74">
        <f aca="true" t="shared" si="4" ref="D63:E63">SUM(D59:D62)</f>
        <v>170130</v>
      </c>
      <c r="E63" s="74">
        <f t="shared" si="4"/>
        <v>96630</v>
      </c>
      <c r="F63" s="151">
        <f t="shared" si="3"/>
        <v>2.3146938775510204</v>
      </c>
      <c r="G63" s="11"/>
      <c r="H63"/>
      <c r="I63"/>
      <c r="J63"/>
      <c r="K63"/>
      <c r="L63"/>
    </row>
    <row r="64" spans="1:12" s="2" customFormat="1" ht="24.75" customHeight="1">
      <c r="A64" s="9"/>
      <c r="B64" s="58" t="s">
        <v>27</v>
      </c>
      <c r="C64" s="65"/>
      <c r="D64" s="65"/>
      <c r="E64" s="65"/>
      <c r="F64" s="152"/>
      <c r="G64" s="11"/>
      <c r="H64"/>
      <c r="I64"/>
      <c r="J64"/>
      <c r="K64"/>
      <c r="L64"/>
    </row>
    <row r="65" spans="1:12" s="2" customFormat="1" ht="24.75" customHeight="1">
      <c r="A65" s="122"/>
      <c r="B65" s="148" t="s">
        <v>28</v>
      </c>
      <c r="C65" s="149">
        <v>128</v>
      </c>
      <c r="D65" s="149">
        <v>197</v>
      </c>
      <c r="E65" s="149">
        <f>+D65-C65</f>
        <v>69</v>
      </c>
      <c r="F65" s="150">
        <f>+D65/C65</f>
        <v>1.5390625</v>
      </c>
      <c r="G65" s="11"/>
      <c r="H65"/>
      <c r="I65"/>
      <c r="J65"/>
      <c r="K65"/>
      <c r="L65"/>
    </row>
    <row r="66" spans="1:12" s="2" customFormat="1" ht="30" customHeight="1">
      <c r="A66" s="9"/>
      <c r="B66" s="32"/>
      <c r="C66" s="121"/>
      <c r="D66" s="121"/>
      <c r="E66" s="121"/>
      <c r="F66" s="121"/>
      <c r="G66" s="11"/>
      <c r="H66"/>
      <c r="I66"/>
      <c r="J66"/>
      <c r="K66"/>
      <c r="L66"/>
    </row>
    <row r="67" spans="1:12" s="2" customFormat="1" ht="24.75" customHeight="1">
      <c r="A67" s="9"/>
      <c r="B67" s="58"/>
      <c r="C67" s="65"/>
      <c r="D67" s="65"/>
      <c r="E67" s="65"/>
      <c r="F67" s="65"/>
      <c r="G67" s="11"/>
      <c r="H67"/>
      <c r="I67"/>
      <c r="J67"/>
      <c r="K67"/>
      <c r="L67"/>
    </row>
    <row r="68" spans="1:12" s="2" customFormat="1" ht="30" customHeight="1">
      <c r="A68" s="9"/>
      <c r="B68" s="32"/>
      <c r="C68" s="121"/>
      <c r="D68" s="121"/>
      <c r="E68" s="121"/>
      <c r="F68" s="121"/>
      <c r="G68" s="11"/>
      <c r="H68"/>
      <c r="I68"/>
      <c r="J68"/>
      <c r="K68"/>
      <c r="L68"/>
    </row>
    <row r="69" spans="1:7" ht="17" thickBot="1">
      <c r="A69" s="12"/>
      <c r="B69" s="13"/>
      <c r="C69" s="13"/>
      <c r="D69" s="13"/>
      <c r="E69" s="13"/>
      <c r="F69" s="13"/>
      <c r="G69" s="14"/>
    </row>
    <row r="70" ht="20.25" customHeight="1" thickBot="1"/>
    <row r="71" spans="1:7" ht="15">
      <c r="A71" s="3"/>
      <c r="B71" s="4"/>
      <c r="C71" s="4"/>
      <c r="D71" s="4"/>
      <c r="E71" s="4"/>
      <c r="F71" s="4"/>
      <c r="G71" s="5"/>
    </row>
    <row r="72" spans="1:7" ht="15">
      <c r="A72" s="9"/>
      <c r="B72" s="16"/>
      <c r="C72" s="16" t="s">
        <v>5</v>
      </c>
      <c r="D72" s="16" t="s">
        <v>7</v>
      </c>
      <c r="E72" s="16" t="s">
        <v>12</v>
      </c>
      <c r="F72" s="17" t="s">
        <v>10</v>
      </c>
      <c r="G72" s="15"/>
    </row>
    <row r="73" spans="1:7" ht="17" thickBot="1">
      <c r="A73" s="9"/>
      <c r="B73" s="18" t="s">
        <v>4</v>
      </c>
      <c r="C73" s="124" t="s">
        <v>6</v>
      </c>
      <c r="D73" s="53" t="s">
        <v>8</v>
      </c>
      <c r="E73" s="53" t="s">
        <v>9</v>
      </c>
      <c r="F73" s="19" t="s">
        <v>11</v>
      </c>
      <c r="G73" s="15"/>
    </row>
    <row r="74" spans="1:7" ht="17">
      <c r="A74" s="9"/>
      <c r="B74" s="51" t="s">
        <v>29</v>
      </c>
      <c r="C74" s="56"/>
      <c r="D74" s="56"/>
      <c r="E74" s="28"/>
      <c r="F74" s="68"/>
      <c r="G74" s="11"/>
    </row>
    <row r="75" spans="1:7" ht="17">
      <c r="A75" s="9"/>
      <c r="B75" s="50" t="s">
        <v>73</v>
      </c>
      <c r="C75" s="28">
        <v>500</v>
      </c>
      <c r="D75" s="28">
        <v>610</v>
      </c>
      <c r="E75" s="63">
        <f>+D75-C75</f>
        <v>110</v>
      </c>
      <c r="F75" s="146">
        <f>+D75/C75</f>
        <v>1.22</v>
      </c>
      <c r="G75" s="11"/>
    </row>
    <row r="76" spans="1:7" ht="17">
      <c r="A76" s="9"/>
      <c r="B76" s="54" t="s">
        <v>30</v>
      </c>
      <c r="C76" s="58"/>
      <c r="D76" s="58"/>
      <c r="E76" s="65"/>
      <c r="F76" s="70"/>
      <c r="G76" s="11"/>
    </row>
    <row r="77" spans="1:7" ht="17">
      <c r="A77" s="9"/>
      <c r="B77" s="61" t="s">
        <v>72</v>
      </c>
      <c r="C77" s="60">
        <v>500</v>
      </c>
      <c r="D77" s="60">
        <v>486</v>
      </c>
      <c r="E77" s="66">
        <f>+D77-C77</f>
        <v>-14</v>
      </c>
      <c r="F77" s="145">
        <f>+D77/C77</f>
        <v>0.972</v>
      </c>
      <c r="G77" s="11"/>
    </row>
    <row r="78" spans="1:7" ht="17">
      <c r="A78" s="9"/>
      <c r="B78" s="51"/>
      <c r="C78" s="56"/>
      <c r="D78" s="56"/>
      <c r="E78" s="62"/>
      <c r="F78" s="68"/>
      <c r="G78" s="11"/>
    </row>
    <row r="79" spans="1:7" ht="17">
      <c r="A79" s="9"/>
      <c r="B79" s="50" t="s">
        <v>38</v>
      </c>
      <c r="C79" s="28">
        <v>140</v>
      </c>
      <c r="D79" s="28">
        <v>176</v>
      </c>
      <c r="E79" s="63">
        <f>+D79-C79</f>
        <v>36</v>
      </c>
      <c r="F79" s="146">
        <f>+D79/C79</f>
        <v>1.2571428571428571</v>
      </c>
      <c r="G79" s="11"/>
    </row>
    <row r="80" spans="1:7" ht="17">
      <c r="A80" s="9"/>
      <c r="B80" s="54" t="s">
        <v>31</v>
      </c>
      <c r="C80" s="58"/>
      <c r="D80" s="58"/>
      <c r="E80" s="65"/>
      <c r="F80" s="70"/>
      <c r="G80" s="11"/>
    </row>
    <row r="81" spans="1:7" ht="17">
      <c r="A81" s="9"/>
      <c r="B81" s="55" t="s">
        <v>32</v>
      </c>
      <c r="C81" s="61">
        <v>202</v>
      </c>
      <c r="D81" s="61">
        <v>169</v>
      </c>
      <c r="E81" s="67">
        <f>+D81-C81</f>
        <v>-33</v>
      </c>
      <c r="F81" s="71">
        <f>+D81/C81</f>
        <v>0.8366336633663366</v>
      </c>
      <c r="G81" s="11"/>
    </row>
    <row r="82" spans="1:7" ht="17">
      <c r="A82" s="9"/>
      <c r="B82" s="51"/>
      <c r="C82" s="28"/>
      <c r="D82" s="28"/>
      <c r="E82" s="63"/>
      <c r="F82" s="63"/>
      <c r="G82" s="11"/>
    </row>
    <row r="83" spans="1:7" ht="17">
      <c r="A83" s="9"/>
      <c r="B83" s="52" t="s">
        <v>71</v>
      </c>
      <c r="C83" s="50">
        <v>0</v>
      </c>
      <c r="D83" s="50">
        <v>26</v>
      </c>
      <c r="E83" s="64">
        <f>+D83-C83</f>
        <v>26</v>
      </c>
      <c r="F83" s="146">
        <v>1</v>
      </c>
      <c r="G83" s="11"/>
    </row>
    <row r="84" spans="1:7" ht="17">
      <c r="A84" s="9"/>
      <c r="B84" s="54"/>
      <c r="C84" s="60"/>
      <c r="D84" s="60"/>
      <c r="E84" s="66"/>
      <c r="F84" s="70"/>
      <c r="G84" s="11"/>
    </row>
    <row r="85" spans="1:7" ht="17">
      <c r="A85" s="9"/>
      <c r="B85" s="61" t="s">
        <v>79</v>
      </c>
      <c r="C85" s="61">
        <v>0</v>
      </c>
      <c r="D85" s="61">
        <v>34</v>
      </c>
      <c r="E85" s="67">
        <f>+D85-C85</f>
        <v>34</v>
      </c>
      <c r="F85" s="71">
        <v>1</v>
      </c>
      <c r="G85" s="11"/>
    </row>
    <row r="86" spans="1:7" ht="17" thickBot="1">
      <c r="A86" s="12"/>
      <c r="B86" s="13"/>
      <c r="C86" s="13"/>
      <c r="D86" s="13"/>
      <c r="E86" s="13"/>
      <c r="F86" s="13"/>
      <c r="G86" s="14"/>
    </row>
    <row r="87" spans="1:7" ht="60" customHeight="1" thickBot="1">
      <c r="A87" s="7"/>
      <c r="B87" s="7"/>
      <c r="C87" s="7"/>
      <c r="D87" s="7"/>
      <c r="E87" s="7"/>
      <c r="F87" s="7"/>
      <c r="G87" s="7"/>
    </row>
    <row r="88" spans="1:7" ht="15">
      <c r="A88" s="3"/>
      <c r="B88" s="4"/>
      <c r="C88" s="4"/>
      <c r="D88" s="4"/>
      <c r="E88" s="4"/>
      <c r="F88" s="4"/>
      <c r="G88" s="5"/>
    </row>
    <row r="89" spans="1:7" ht="17">
      <c r="A89" s="9"/>
      <c r="B89" s="233"/>
      <c r="C89" s="234"/>
      <c r="D89" s="234"/>
      <c r="E89" s="234"/>
      <c r="F89" s="235"/>
      <c r="G89" s="15"/>
    </row>
    <row r="90" spans="1:7" ht="17">
      <c r="A90" s="9"/>
      <c r="B90" s="233" t="s">
        <v>55</v>
      </c>
      <c r="C90" s="234"/>
      <c r="D90" s="234"/>
      <c r="E90" s="234"/>
      <c r="F90" s="235"/>
      <c r="G90" s="15"/>
    </row>
    <row r="91" spans="1:7" ht="17">
      <c r="A91" s="9"/>
      <c r="B91" s="132"/>
      <c r="C91" s="133"/>
      <c r="D91" s="76"/>
      <c r="E91" s="28"/>
      <c r="F91" s="29"/>
      <c r="G91" s="11"/>
    </row>
    <row r="92" spans="1:7" ht="17">
      <c r="A92" s="9"/>
      <c r="B92" s="82"/>
      <c r="C92" s="85"/>
      <c r="D92" s="123" t="s">
        <v>8</v>
      </c>
      <c r="E92" s="74"/>
      <c r="F92" s="134" t="s">
        <v>66</v>
      </c>
      <c r="G92" s="11"/>
    </row>
    <row r="93" spans="1:7" ht="25.5" customHeight="1">
      <c r="A93" s="9"/>
      <c r="B93" s="83" t="s">
        <v>33</v>
      </c>
      <c r="C93" s="131"/>
      <c r="D93" s="141">
        <v>783</v>
      </c>
      <c r="E93" s="46"/>
      <c r="F93" s="135">
        <f>+D93/$D$101</f>
        <v>0.5475524475524476</v>
      </c>
      <c r="G93" s="11"/>
    </row>
    <row r="94" spans="1:7" ht="25.5" customHeight="1">
      <c r="A94" s="9"/>
      <c r="B94" s="84" t="s">
        <v>34</v>
      </c>
      <c r="C94" s="87"/>
      <c r="D94" s="142">
        <v>270</v>
      </c>
      <c r="E94" s="26"/>
      <c r="F94" s="136">
        <f aca="true" t="shared" si="5" ref="F94:F101">+D94/$D$101</f>
        <v>0.1888111888111888</v>
      </c>
      <c r="G94" s="11"/>
    </row>
    <row r="95" spans="1:7" ht="25.5" customHeight="1">
      <c r="A95" s="9"/>
      <c r="B95" s="83" t="s">
        <v>35</v>
      </c>
      <c r="C95" s="131"/>
      <c r="D95" s="141">
        <v>205</v>
      </c>
      <c r="E95" s="46"/>
      <c r="F95" s="135">
        <f t="shared" si="5"/>
        <v>0.14335664335664336</v>
      </c>
      <c r="G95" s="11"/>
    </row>
    <row r="96" spans="1:7" ht="25.5" customHeight="1">
      <c r="A96" s="9"/>
      <c r="B96" s="84" t="s">
        <v>36</v>
      </c>
      <c r="C96" s="87"/>
      <c r="D96" s="142">
        <v>62</v>
      </c>
      <c r="E96" s="26"/>
      <c r="F96" s="136">
        <f t="shared" si="5"/>
        <v>0.043356643356643354</v>
      </c>
      <c r="G96" s="11"/>
    </row>
    <row r="97" spans="1:7" ht="25.5" customHeight="1">
      <c r="A97" s="9"/>
      <c r="B97" s="83" t="s">
        <v>37</v>
      </c>
      <c r="C97" s="131"/>
      <c r="D97" s="141">
        <v>54</v>
      </c>
      <c r="E97" s="46"/>
      <c r="F97" s="135">
        <f t="shared" si="5"/>
        <v>0.03776223776223776</v>
      </c>
      <c r="G97" s="11"/>
    </row>
    <row r="98" spans="1:7" ht="25.5" customHeight="1">
      <c r="A98" s="9"/>
      <c r="B98" s="84" t="s">
        <v>63</v>
      </c>
      <c r="C98" s="87"/>
      <c r="D98" s="142">
        <v>46</v>
      </c>
      <c r="E98" s="26"/>
      <c r="F98" s="136">
        <f t="shared" si="5"/>
        <v>0.032167832167832165</v>
      </c>
      <c r="G98" s="11"/>
    </row>
    <row r="99" spans="1:7" ht="25.5" customHeight="1">
      <c r="A99" s="9"/>
      <c r="B99" s="93" t="s">
        <v>67</v>
      </c>
      <c r="C99" s="88"/>
      <c r="D99" s="141">
        <v>7</v>
      </c>
      <c r="E99" s="30"/>
      <c r="F99" s="135">
        <f t="shared" si="5"/>
        <v>0.0048951048951048955</v>
      </c>
      <c r="G99" s="11"/>
    </row>
    <row r="100" spans="1:7" ht="25.5" customHeight="1" thickBot="1">
      <c r="A100" s="9"/>
      <c r="B100" s="84" t="s">
        <v>64</v>
      </c>
      <c r="C100" s="89"/>
      <c r="D100" s="143">
        <v>3</v>
      </c>
      <c r="E100" s="31"/>
      <c r="F100" s="137">
        <f t="shared" si="5"/>
        <v>0.002097902097902098</v>
      </c>
      <c r="G100" s="11"/>
    </row>
    <row r="101" spans="1:7" ht="25.5" customHeight="1" thickBot="1">
      <c r="A101" s="9"/>
      <c r="B101" s="138" t="s">
        <v>65</v>
      </c>
      <c r="C101" s="139"/>
      <c r="D101" s="144">
        <f>SUM(D93:D100)</f>
        <v>1430</v>
      </c>
      <c r="E101" s="125"/>
      <c r="F101" s="140">
        <f t="shared" si="5"/>
        <v>1</v>
      </c>
      <c r="G101" s="11"/>
    </row>
    <row r="102" spans="1:7" ht="25.5" customHeight="1" thickTop="1">
      <c r="A102" s="9"/>
      <c r="B102" s="83"/>
      <c r="C102" s="90"/>
      <c r="D102" s="34"/>
      <c r="E102" s="34"/>
      <c r="F102" s="35"/>
      <c r="G102" s="11"/>
    </row>
    <row r="103" spans="1:7" ht="25.5" customHeight="1">
      <c r="A103" s="9"/>
      <c r="B103" s="52"/>
      <c r="C103" s="33"/>
      <c r="D103" s="32"/>
      <c r="E103" s="32"/>
      <c r="F103" s="27"/>
      <c r="G103" s="11"/>
    </row>
    <row r="104" spans="1:7" ht="21" thickBot="1">
      <c r="A104" s="12"/>
      <c r="B104" s="75"/>
      <c r="C104" s="75"/>
      <c r="D104" s="75"/>
      <c r="E104" s="75"/>
      <c r="F104" s="75"/>
      <c r="G104" s="14"/>
    </row>
    <row r="105" ht="17" thickBot="1"/>
    <row r="106" spans="1:7" ht="15">
      <c r="A106" s="3"/>
      <c r="B106" s="4"/>
      <c r="C106" s="4"/>
      <c r="D106" s="4"/>
      <c r="E106" s="4"/>
      <c r="F106" s="4"/>
      <c r="G106" s="5"/>
    </row>
    <row r="107" spans="1:7" ht="17">
      <c r="A107" s="9"/>
      <c r="B107" s="233"/>
      <c r="C107" s="234"/>
      <c r="D107" s="234"/>
      <c r="E107" s="234"/>
      <c r="F107" s="235"/>
      <c r="G107" s="15"/>
    </row>
    <row r="108" spans="1:7" ht="17">
      <c r="A108" s="9"/>
      <c r="B108" s="233" t="s">
        <v>68</v>
      </c>
      <c r="C108" s="234"/>
      <c r="D108" s="234"/>
      <c r="E108" s="234"/>
      <c r="F108" s="235"/>
      <c r="G108" s="15"/>
    </row>
    <row r="109" spans="1:7" ht="17">
      <c r="A109" s="9"/>
      <c r="B109" s="81"/>
      <c r="C109" s="42"/>
      <c r="D109" s="91"/>
      <c r="E109" s="78"/>
      <c r="F109" s="78"/>
      <c r="G109" s="11"/>
    </row>
    <row r="110" spans="1:7" ht="17">
      <c r="A110" s="9"/>
      <c r="B110" s="82"/>
      <c r="C110" s="92"/>
      <c r="D110" s="92"/>
      <c r="E110" s="85"/>
      <c r="F110" s="78"/>
      <c r="G110" s="11"/>
    </row>
    <row r="111" spans="1:8" ht="17">
      <c r="A111" s="9"/>
      <c r="B111" s="83" t="s">
        <v>56</v>
      </c>
      <c r="C111" s="94"/>
      <c r="D111" s="94"/>
      <c r="E111" s="86"/>
      <c r="F111" s="24">
        <v>966</v>
      </c>
      <c r="G111" s="11"/>
      <c r="H111" s="130"/>
    </row>
    <row r="112" spans="1:7" ht="18" thickBot="1">
      <c r="A112" s="9"/>
      <c r="B112" s="84" t="s">
        <v>57</v>
      </c>
      <c r="C112" s="95"/>
      <c r="D112" s="95"/>
      <c r="E112" s="87"/>
      <c r="F112" s="80">
        <v>2458</v>
      </c>
      <c r="G112" s="11"/>
    </row>
    <row r="113" spans="1:7" ht="18" thickBot="1">
      <c r="A113" s="9"/>
      <c r="B113" s="103" t="s">
        <v>39</v>
      </c>
      <c r="C113" s="94"/>
      <c r="D113" s="94"/>
      <c r="E113" s="86"/>
      <c r="F113" s="104">
        <f>SUM(F111:F112)</f>
        <v>3424</v>
      </c>
      <c r="G113" s="11"/>
    </row>
    <row r="114" spans="1:7" ht="36" customHeight="1" thickTop="1">
      <c r="A114" s="9"/>
      <c r="B114" s="84"/>
      <c r="C114" s="95"/>
      <c r="D114" s="95"/>
      <c r="E114" s="87"/>
      <c r="F114" s="64"/>
      <c r="G114" s="11"/>
    </row>
    <row r="115" spans="1:7" ht="17">
      <c r="A115" s="9"/>
      <c r="B115" s="83" t="s">
        <v>69</v>
      </c>
      <c r="C115" s="94"/>
      <c r="D115" s="94"/>
      <c r="E115" s="88"/>
      <c r="F115" s="30">
        <v>1501095</v>
      </c>
      <c r="G115" s="11"/>
    </row>
    <row r="116" spans="1:7" ht="18" thickBot="1">
      <c r="A116" s="9"/>
      <c r="B116" s="84" t="s">
        <v>70</v>
      </c>
      <c r="C116" s="95"/>
      <c r="D116" s="95"/>
      <c r="E116" s="89"/>
      <c r="F116" s="26">
        <v>108746</v>
      </c>
      <c r="G116" s="11"/>
    </row>
    <row r="117" spans="1:7" ht="18" thickBot="1">
      <c r="A117" s="9"/>
      <c r="B117" s="101" t="s">
        <v>40</v>
      </c>
      <c r="C117" s="98"/>
      <c r="D117" s="98"/>
      <c r="E117" s="89"/>
      <c r="F117" s="102">
        <f>SUM(F115:F116)</f>
        <v>1609841</v>
      </c>
      <c r="G117" s="11"/>
    </row>
    <row r="118" spans="1:7" ht="18" thickTop="1">
      <c r="A118" s="9"/>
      <c r="B118" s="83"/>
      <c r="C118" s="97"/>
      <c r="D118" s="97"/>
      <c r="E118" s="90"/>
      <c r="F118" s="35"/>
      <c r="G118" s="11"/>
    </row>
    <row r="119" spans="1:7" ht="17">
      <c r="A119" s="9"/>
      <c r="B119" s="84"/>
      <c r="C119" s="96"/>
      <c r="D119" s="96"/>
      <c r="E119" s="33"/>
      <c r="F119" s="27"/>
      <c r="G119" s="11"/>
    </row>
    <row r="120" spans="1:7" ht="17">
      <c r="A120" s="9"/>
      <c r="B120" s="83"/>
      <c r="C120" s="97"/>
      <c r="D120" s="97"/>
      <c r="E120" s="90"/>
      <c r="F120" s="35"/>
      <c r="G120" s="11"/>
    </row>
    <row r="121" spans="1:7" ht="17">
      <c r="A121" s="9"/>
      <c r="B121" s="84"/>
      <c r="C121" s="96"/>
      <c r="D121" s="96"/>
      <c r="E121" s="33"/>
      <c r="F121" s="27"/>
      <c r="G121" s="11"/>
    </row>
    <row r="122" spans="1:7" ht="21" thickBot="1">
      <c r="A122" s="12"/>
      <c r="B122" s="75"/>
      <c r="C122" s="75"/>
      <c r="D122" s="75"/>
      <c r="E122" s="75"/>
      <c r="F122" s="75"/>
      <c r="G122" s="14"/>
    </row>
    <row r="123" spans="1:7" ht="60" customHeight="1" thickBot="1">
      <c r="A123" s="7"/>
      <c r="B123" s="7"/>
      <c r="C123" s="7"/>
      <c r="D123" s="7"/>
      <c r="E123" s="7"/>
      <c r="F123" s="7"/>
      <c r="G123" s="7"/>
    </row>
    <row r="124" spans="1:7" ht="15">
      <c r="A124" s="3"/>
      <c r="B124" s="4"/>
      <c r="C124" s="4"/>
      <c r="D124" s="4"/>
      <c r="E124" s="4"/>
      <c r="F124" s="4"/>
      <c r="G124" s="5"/>
    </row>
    <row r="125" spans="1:7" ht="17">
      <c r="A125" s="9"/>
      <c r="B125" s="233"/>
      <c r="C125" s="234"/>
      <c r="D125" s="234"/>
      <c r="E125" s="234"/>
      <c r="F125" s="235"/>
      <c r="G125" s="15"/>
    </row>
    <row r="126" spans="1:7" ht="17">
      <c r="A126" s="9"/>
      <c r="B126" s="233" t="s">
        <v>41</v>
      </c>
      <c r="C126" s="234"/>
      <c r="D126" s="234"/>
      <c r="E126" s="234"/>
      <c r="F126" s="235"/>
      <c r="G126" s="15"/>
    </row>
    <row r="127" spans="1:7" ht="17">
      <c r="A127" s="9"/>
      <c r="B127" s="28"/>
      <c r="C127" s="28"/>
      <c r="D127" s="99"/>
      <c r="E127" s="100"/>
      <c r="F127" s="29"/>
      <c r="G127" s="11"/>
    </row>
    <row r="128" spans="1:7" ht="17">
      <c r="A128" s="9"/>
      <c r="B128" s="50" t="s">
        <v>42</v>
      </c>
      <c r="C128" s="64">
        <v>200</v>
      </c>
      <c r="D128" s="114">
        <v>390</v>
      </c>
      <c r="E128" s="115">
        <f>+C128*D128</f>
        <v>78000</v>
      </c>
      <c r="F128" s="69"/>
      <c r="G128" s="11"/>
    </row>
    <row r="129" spans="1:7" ht="17">
      <c r="A129" s="9"/>
      <c r="B129" s="60"/>
      <c r="C129" s="60"/>
      <c r="D129" s="117"/>
      <c r="E129" s="116"/>
      <c r="F129" s="59"/>
      <c r="G129" s="11"/>
    </row>
    <row r="130" spans="1:7" ht="17">
      <c r="A130" s="9"/>
      <c r="B130" s="61" t="s">
        <v>43</v>
      </c>
      <c r="C130" s="106"/>
      <c r="D130" s="106"/>
      <c r="E130" s="67">
        <v>5500</v>
      </c>
      <c r="F130" s="71"/>
      <c r="G130" s="11"/>
    </row>
    <row r="131" spans="1:7" ht="38.25" customHeight="1" thickBot="1">
      <c r="A131" s="9"/>
      <c r="B131" s="118" t="s">
        <v>44</v>
      </c>
      <c r="C131" s="77"/>
      <c r="D131" s="77"/>
      <c r="E131" s="119">
        <f>SUM(E127:E130)</f>
        <v>83500</v>
      </c>
      <c r="F131" s="27"/>
      <c r="G131" s="11"/>
    </row>
    <row r="132" spans="1:7" ht="18" thickTop="1">
      <c r="A132" s="9"/>
      <c r="B132" s="37"/>
      <c r="C132" s="46"/>
      <c r="D132" s="46"/>
      <c r="E132" s="46"/>
      <c r="F132" s="25"/>
      <c r="G132" s="11"/>
    </row>
    <row r="133" spans="1:7" ht="17">
      <c r="A133" s="9"/>
      <c r="B133" s="32"/>
      <c r="C133" s="26"/>
      <c r="D133" s="26"/>
      <c r="E133" s="26"/>
      <c r="F133" s="27"/>
      <c r="G133" s="11"/>
    </row>
    <row r="134" spans="1:7" ht="17">
      <c r="A134" s="9"/>
      <c r="B134" s="37"/>
      <c r="C134" s="46"/>
      <c r="D134" s="46"/>
      <c r="E134" s="46"/>
      <c r="F134" s="25"/>
      <c r="G134" s="11"/>
    </row>
    <row r="135" spans="1:7" ht="17">
      <c r="A135" s="9"/>
      <c r="B135" s="32"/>
      <c r="C135" s="32"/>
      <c r="D135" s="32"/>
      <c r="E135" s="32"/>
      <c r="F135" s="33"/>
      <c r="G135" s="11"/>
    </row>
    <row r="136" spans="1:7" ht="17">
      <c r="A136" s="9"/>
      <c r="B136" s="37"/>
      <c r="C136" s="30"/>
      <c r="D136" s="30"/>
      <c r="E136" s="30"/>
      <c r="F136" s="25"/>
      <c r="G136" s="11"/>
    </row>
    <row r="137" spans="1:7" ht="17">
      <c r="A137" s="9"/>
      <c r="B137" s="32"/>
      <c r="C137" s="32"/>
      <c r="D137" s="32"/>
      <c r="E137" s="32"/>
      <c r="F137" s="33"/>
      <c r="G137" s="11"/>
    </row>
    <row r="138" spans="1:7" ht="17">
      <c r="A138" s="9"/>
      <c r="B138" s="34"/>
      <c r="C138" s="34"/>
      <c r="D138" s="34"/>
      <c r="E138" s="34"/>
      <c r="F138" s="35"/>
      <c r="G138" s="11"/>
    </row>
    <row r="139" spans="1:7" ht="17">
      <c r="A139" s="9"/>
      <c r="B139" s="32"/>
      <c r="C139" s="32"/>
      <c r="D139" s="32"/>
      <c r="E139" s="32"/>
      <c r="F139" s="27"/>
      <c r="G139" s="11"/>
    </row>
    <row r="140" spans="1:7" ht="21" thickBot="1">
      <c r="A140" s="12"/>
      <c r="B140" s="75"/>
      <c r="C140" s="75"/>
      <c r="D140" s="75"/>
      <c r="E140" s="75"/>
      <c r="F140" s="75"/>
      <c r="G140" s="14"/>
    </row>
    <row r="141" spans="1:8" ht="21" thickBot="1">
      <c r="A141" s="108"/>
      <c r="C141" s="108"/>
      <c r="D141" s="108"/>
      <c r="E141" s="108"/>
      <c r="F141" s="108"/>
      <c r="G141" s="108"/>
      <c r="H141" s="108"/>
    </row>
    <row r="142" spans="1:7" ht="15">
      <c r="A142" s="3"/>
      <c r="B142" s="4"/>
      <c r="C142" s="4"/>
      <c r="D142" s="4"/>
      <c r="E142" s="4"/>
      <c r="F142" s="4"/>
      <c r="G142" s="5"/>
    </row>
    <row r="143" spans="1:7" ht="17">
      <c r="A143" s="9"/>
      <c r="B143" s="233" t="s">
        <v>45</v>
      </c>
      <c r="C143" s="234"/>
      <c r="D143" s="234"/>
      <c r="E143" s="234"/>
      <c r="F143" s="235"/>
      <c r="G143" s="15"/>
    </row>
    <row r="144" spans="1:7" ht="18" thickBot="1">
      <c r="A144" s="9"/>
      <c r="B144" s="72"/>
      <c r="C144" s="72"/>
      <c r="D144" s="72"/>
      <c r="E144" s="72"/>
      <c r="F144" s="73"/>
      <c r="G144" s="15"/>
    </row>
    <row r="145" spans="1:7" ht="17">
      <c r="A145" s="9"/>
      <c r="B145" s="28"/>
      <c r="C145" s="76" t="s">
        <v>47</v>
      </c>
      <c r="D145" s="107" t="s">
        <v>48</v>
      </c>
      <c r="E145" s="105" t="s">
        <v>51</v>
      </c>
      <c r="F145" s="78" t="s">
        <v>60</v>
      </c>
      <c r="G145" s="11"/>
    </row>
    <row r="146" spans="1:7" ht="30" customHeight="1">
      <c r="A146" s="9"/>
      <c r="B146" s="61" t="s">
        <v>46</v>
      </c>
      <c r="C146" s="67">
        <v>2620</v>
      </c>
      <c r="D146" s="67">
        <v>2494</v>
      </c>
      <c r="E146" s="109">
        <v>0.8</v>
      </c>
      <c r="F146" s="109">
        <f>+D146/C146</f>
        <v>0.9519083969465649</v>
      </c>
      <c r="G146" s="11"/>
    </row>
    <row r="147" spans="1:7" ht="17">
      <c r="A147" s="9"/>
      <c r="B147" s="32"/>
      <c r="C147" s="26"/>
      <c r="D147" s="26"/>
      <c r="E147" s="110"/>
      <c r="F147" s="110"/>
      <c r="G147" s="11"/>
    </row>
    <row r="148" spans="1:7" ht="30" customHeight="1">
      <c r="A148" s="9"/>
      <c r="B148" s="61" t="s">
        <v>49</v>
      </c>
      <c r="C148" s="67">
        <v>930</v>
      </c>
      <c r="D148" s="67">
        <v>853</v>
      </c>
      <c r="E148" s="109">
        <v>0.8</v>
      </c>
      <c r="F148" s="109">
        <f>+D148/C148</f>
        <v>0.9172043010752688</v>
      </c>
      <c r="G148" s="11"/>
    </row>
    <row r="149" spans="1:7" ht="17">
      <c r="A149" s="9"/>
      <c r="B149" s="36"/>
      <c r="C149" s="74"/>
      <c r="D149" s="74"/>
      <c r="E149" s="74"/>
      <c r="F149" s="69"/>
      <c r="G149" s="11"/>
    </row>
    <row r="150" spans="1:7" ht="30" customHeight="1" thickBot="1">
      <c r="A150" s="9"/>
      <c r="B150" s="125" t="s">
        <v>50</v>
      </c>
      <c r="C150" s="126"/>
      <c r="D150" s="126"/>
      <c r="E150" s="127">
        <f>SUM(D146:D148)*15*E146</f>
        <v>40164</v>
      </c>
      <c r="F150" s="128"/>
      <c r="G150" s="11"/>
    </row>
    <row r="151" spans="1:7" ht="18" thickTop="1">
      <c r="A151" s="9"/>
      <c r="B151" s="32"/>
      <c r="C151" s="26"/>
      <c r="D151" s="26"/>
      <c r="E151" s="26"/>
      <c r="F151" s="27"/>
      <c r="G151" s="11"/>
    </row>
    <row r="152" spans="1:7" ht="17">
      <c r="A152" s="9"/>
      <c r="B152" s="37"/>
      <c r="C152" s="30"/>
      <c r="D152" s="30"/>
      <c r="E152" s="30"/>
      <c r="F152" s="25"/>
      <c r="G152" s="11"/>
    </row>
    <row r="153" spans="1:7" ht="17">
      <c r="A153" s="9"/>
      <c r="B153" s="32"/>
      <c r="C153" s="26"/>
      <c r="D153" s="26"/>
      <c r="E153" s="26"/>
      <c r="F153" s="27"/>
      <c r="G153" s="11"/>
    </row>
    <row r="154" spans="1:7" ht="17">
      <c r="A154" s="9"/>
      <c r="B154" s="37"/>
      <c r="C154" s="30"/>
      <c r="D154" s="30"/>
      <c r="E154" s="30"/>
      <c r="F154" s="25"/>
      <c r="G154" s="11"/>
    </row>
    <row r="155" spans="1:7" ht="17">
      <c r="A155" s="9"/>
      <c r="B155" s="32"/>
      <c r="C155" s="32"/>
      <c r="D155" s="32"/>
      <c r="E155" s="32"/>
      <c r="F155" s="33"/>
      <c r="G155" s="11"/>
    </row>
    <row r="156" spans="1:7" ht="17">
      <c r="A156" s="9"/>
      <c r="B156" s="34"/>
      <c r="C156" s="34"/>
      <c r="D156" s="34"/>
      <c r="E156" s="34"/>
      <c r="F156" s="35"/>
      <c r="G156" s="11"/>
    </row>
    <row r="157" spans="1:7" ht="17">
      <c r="A157" s="9"/>
      <c r="B157" s="32"/>
      <c r="C157" s="32"/>
      <c r="D157" s="32"/>
      <c r="E157" s="32"/>
      <c r="F157" s="27"/>
      <c r="G157" s="11"/>
    </row>
    <row r="158" spans="1:7" ht="21" thickBot="1">
      <c r="A158" s="12"/>
      <c r="B158" s="75"/>
      <c r="C158" s="75"/>
      <c r="D158" s="75"/>
      <c r="E158" s="75"/>
      <c r="F158" s="75"/>
      <c r="G158" s="14"/>
    </row>
    <row r="159" s="7" customFormat="1" ht="60" customHeight="1"/>
    <row r="160" spans="1:8" ht="15">
      <c r="A160" s="7"/>
      <c r="C160" s="7"/>
      <c r="D160" s="7"/>
      <c r="E160" s="7"/>
      <c r="F160" s="7"/>
      <c r="G160" s="7"/>
      <c r="H160" s="7"/>
    </row>
    <row r="161" ht="14"/>
    <row r="162" ht="14"/>
    <row r="163" ht="14"/>
    <row r="164" ht="14"/>
    <row r="165" ht="14"/>
    <row r="166" ht="14"/>
    <row r="167" ht="14"/>
    <row r="168" ht="14"/>
    <row r="169" ht="14"/>
    <row r="170" ht="14"/>
    <row r="171" ht="14"/>
    <row r="172" ht="14"/>
    <row r="173" ht="14"/>
    <row r="174" ht="14"/>
    <row r="175" ht="14"/>
    <row r="176" ht="14"/>
    <row r="177" ht="14"/>
  </sheetData>
  <mergeCells count="16">
    <mergeCell ref="B143:F143"/>
    <mergeCell ref="A8:G8"/>
    <mergeCell ref="A9:G9"/>
    <mergeCell ref="A10:G10"/>
    <mergeCell ref="A11:G11"/>
    <mergeCell ref="A13:G13"/>
    <mergeCell ref="B12:G12"/>
    <mergeCell ref="B21:F21"/>
    <mergeCell ref="A14:G14"/>
    <mergeCell ref="B89:F89"/>
    <mergeCell ref="B125:F125"/>
    <mergeCell ref="B107:F107"/>
    <mergeCell ref="B126:F126"/>
    <mergeCell ref="B108:F108"/>
    <mergeCell ref="B90:F90"/>
    <mergeCell ref="B39:F39"/>
  </mergeCells>
  <printOptions horizontalCentered="1" verticalCentered="1"/>
  <pageMargins left="0.7" right="0.7" top="0.75" bottom="0.75" header="0.3" footer="0.3"/>
  <pageSetup horizontalDpi="600" verticalDpi="600" orientation="portrait" scale="78"/>
  <headerFooter>
    <oddHeader>&amp;R&amp;"Arial Rounded MT Bold,Regular"&amp;12&amp;D</oddHeader>
    <oddFooter>&amp;C&amp;"Arial Rounded MT Bold,Regular"&amp;12&amp;P</oddFooter>
  </headerFooter>
  <rowBreaks count="4" manualBreakCount="4">
    <brk id="38" max="16383" man="1"/>
    <brk id="69" max="16383" man="1"/>
    <brk id="104" max="16383" man="1"/>
    <brk id="14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25"/>
  <sheetViews>
    <sheetView workbookViewId="0" topLeftCell="B55">
      <selection activeCell="D66" sqref="D66"/>
    </sheetView>
  </sheetViews>
  <sheetFormatPr defaultColWidth="8.8515625" defaultRowHeight="15"/>
  <cols>
    <col min="1" max="1" width="2.421875" style="1" customWidth="1"/>
    <col min="2" max="2" width="48.421875" style="1" customWidth="1"/>
    <col min="3" max="3" width="17.421875" style="1" customWidth="1"/>
    <col min="4" max="4" width="18.8515625" style="1" customWidth="1"/>
    <col min="5" max="5" width="15.421875" style="1" customWidth="1"/>
    <col min="6" max="6" width="20.421875" style="1" customWidth="1"/>
    <col min="7" max="7" width="3.00390625" style="1" customWidth="1"/>
    <col min="8" max="9" width="9.421875" style="1" bestFit="1" customWidth="1"/>
    <col min="10" max="10" width="83.140625" style="1" customWidth="1"/>
    <col min="11" max="11" width="13.140625" style="1" bestFit="1" customWidth="1"/>
    <col min="12" max="12" width="11.421875" style="1" customWidth="1"/>
    <col min="13" max="16384" width="8.8515625" style="1" customWidth="1"/>
  </cols>
  <sheetData>
    <row r="1" spans="1:7" s="7" customFormat="1" ht="17" thickBot="1">
      <c r="A1" s="13"/>
      <c r="B1" s="13"/>
      <c r="C1" s="13"/>
      <c r="D1" s="13"/>
      <c r="E1" s="13"/>
      <c r="F1" s="13"/>
      <c r="G1" s="13"/>
    </row>
    <row r="2" spans="1:7" ht="18.75">
      <c r="A2" s="6"/>
      <c r="B2" s="7"/>
      <c r="C2" s="7"/>
      <c r="D2" s="7"/>
      <c r="E2" s="7"/>
      <c r="F2" s="7"/>
      <c r="G2" s="8"/>
    </row>
    <row r="3" spans="1:7" ht="18.75">
      <c r="A3" s="6"/>
      <c r="B3" s="7"/>
      <c r="C3" s="7"/>
      <c r="D3" s="7"/>
      <c r="E3" s="7"/>
      <c r="F3" s="7"/>
      <c r="G3" s="8"/>
    </row>
    <row r="4" spans="1:7" ht="18.75">
      <c r="A4" s="6"/>
      <c r="B4" s="7"/>
      <c r="C4" s="7"/>
      <c r="D4" s="7"/>
      <c r="E4" s="7"/>
      <c r="F4" s="7"/>
      <c r="G4" s="8"/>
    </row>
    <row r="5" spans="1:7" ht="18.75">
      <c r="A5" s="6"/>
      <c r="B5" s="7"/>
      <c r="C5" s="7"/>
      <c r="D5" s="7"/>
      <c r="E5" s="7"/>
      <c r="F5" s="7"/>
      <c r="G5" s="8"/>
    </row>
    <row r="6" spans="1:7" ht="18.75">
      <c r="A6" s="6"/>
      <c r="B6" s="7"/>
      <c r="C6" s="7"/>
      <c r="D6" s="7"/>
      <c r="E6" s="7"/>
      <c r="F6" s="7"/>
      <c r="G6" s="8"/>
    </row>
    <row r="7" spans="1:7" ht="15">
      <c r="A7" s="9"/>
      <c r="B7" s="10"/>
      <c r="C7" s="10"/>
      <c r="D7" s="10"/>
      <c r="E7" s="10"/>
      <c r="F7" s="10"/>
      <c r="G7" s="11"/>
    </row>
    <row r="8" spans="1:7" ht="27">
      <c r="A8" s="236" t="s">
        <v>0</v>
      </c>
      <c r="B8" s="237"/>
      <c r="C8" s="237"/>
      <c r="D8" s="237"/>
      <c r="E8" s="237"/>
      <c r="F8" s="237"/>
      <c r="G8" s="238"/>
    </row>
    <row r="9" spans="1:7" ht="24">
      <c r="A9" s="239" t="s">
        <v>80</v>
      </c>
      <c r="B9" s="240"/>
      <c r="C9" s="240"/>
      <c r="D9" s="240"/>
      <c r="E9" s="240"/>
      <c r="F9" s="240"/>
      <c r="G9" s="241"/>
    </row>
    <row r="10" spans="1:7" ht="24">
      <c r="A10" s="239" t="s">
        <v>1</v>
      </c>
      <c r="B10" s="240"/>
      <c r="C10" s="240"/>
      <c r="D10" s="240"/>
      <c r="E10" s="240"/>
      <c r="F10" s="240"/>
      <c r="G10" s="241"/>
    </row>
    <row r="11" spans="1:7" ht="27">
      <c r="A11" s="236" t="s">
        <v>3</v>
      </c>
      <c r="B11" s="237"/>
      <c r="C11" s="237"/>
      <c r="D11" s="237"/>
      <c r="E11" s="237"/>
      <c r="F11" s="237"/>
      <c r="G11" s="238"/>
    </row>
    <row r="12" spans="1:9" ht="24">
      <c r="A12" s="129">
        <v>41725</v>
      </c>
      <c r="B12" s="242">
        <v>41818</v>
      </c>
      <c r="C12" s="242"/>
      <c r="D12" s="242"/>
      <c r="E12" s="242"/>
      <c r="F12" s="242"/>
      <c r="G12" s="243"/>
      <c r="I12" s="1" t="s">
        <v>61</v>
      </c>
    </row>
    <row r="13" spans="1:7" ht="24">
      <c r="A13" s="239" t="s">
        <v>2</v>
      </c>
      <c r="B13" s="240"/>
      <c r="C13" s="240"/>
      <c r="D13" s="240"/>
      <c r="E13" s="240"/>
      <c r="F13" s="240"/>
      <c r="G13" s="241"/>
    </row>
    <row r="14" spans="1:7" ht="24">
      <c r="A14" s="239"/>
      <c r="B14" s="240"/>
      <c r="C14" s="240"/>
      <c r="D14" s="240"/>
      <c r="E14" s="240"/>
      <c r="F14" s="240"/>
      <c r="G14" s="241"/>
    </row>
    <row r="15" spans="1:7" ht="17">
      <c r="A15" s="39"/>
      <c r="B15" s="40"/>
      <c r="C15" s="40"/>
      <c r="D15" s="40"/>
      <c r="E15" s="40"/>
      <c r="F15" s="40"/>
      <c r="G15" s="41"/>
    </row>
    <row r="16" spans="1:7" ht="15">
      <c r="A16" s="6"/>
      <c r="B16" s="7"/>
      <c r="C16" s="7"/>
      <c r="D16" s="7"/>
      <c r="E16" s="7"/>
      <c r="F16" s="7"/>
      <c r="G16" s="8"/>
    </row>
    <row r="17" spans="1:7" ht="17" thickBot="1">
      <c r="A17" s="12"/>
      <c r="B17" s="13"/>
      <c r="C17" s="13"/>
      <c r="D17" s="13"/>
      <c r="E17" s="13"/>
      <c r="F17" s="13"/>
      <c r="G17" s="14"/>
    </row>
    <row r="18" spans="1:7" ht="15">
      <c r="A18" s="7"/>
      <c r="B18" s="7"/>
      <c r="C18" s="7"/>
      <c r="D18" s="7"/>
      <c r="E18" s="7"/>
      <c r="F18" s="7"/>
      <c r="G18" s="7"/>
    </row>
    <row r="19" spans="1:7" ht="5.25" customHeight="1">
      <c r="A19" s="7"/>
      <c r="B19" s="7"/>
      <c r="C19" s="7"/>
      <c r="D19" s="7"/>
      <c r="E19" s="7"/>
      <c r="F19" s="7"/>
      <c r="G19" s="7"/>
    </row>
    <row r="20" ht="16.5" customHeight="1" thickBot="1"/>
    <row r="21" spans="1:7" ht="20">
      <c r="A21" s="3"/>
      <c r="B21" s="244" t="s">
        <v>53</v>
      </c>
      <c r="C21" s="244"/>
      <c r="D21" s="244"/>
      <c r="E21" s="244"/>
      <c r="F21" s="244"/>
      <c r="G21" s="5"/>
    </row>
    <row r="22" spans="1:7" s="2" customFormat="1" ht="30">
      <c r="A22" s="9"/>
      <c r="B22" s="16"/>
      <c r="C22" s="16" t="s">
        <v>5</v>
      </c>
      <c r="D22" s="16" t="s">
        <v>7</v>
      </c>
      <c r="E22" s="159" t="s">
        <v>12</v>
      </c>
      <c r="F22" s="160" t="s">
        <v>10</v>
      </c>
      <c r="G22" s="15"/>
    </row>
    <row r="23" spans="1:7" s="2" customFormat="1" ht="15" thickBot="1">
      <c r="A23" s="9"/>
      <c r="B23" s="18" t="s">
        <v>4</v>
      </c>
      <c r="C23" s="18" t="s">
        <v>6</v>
      </c>
      <c r="D23" s="18" t="s">
        <v>8</v>
      </c>
      <c r="E23" s="18" t="s">
        <v>9</v>
      </c>
      <c r="F23" s="161" t="s">
        <v>11</v>
      </c>
      <c r="G23" s="15"/>
    </row>
    <row r="24" spans="1:7" s="2" customFormat="1" ht="17">
      <c r="A24" s="9"/>
      <c r="B24" s="28"/>
      <c r="C24" s="20"/>
      <c r="D24" s="20"/>
      <c r="E24" s="20"/>
      <c r="F24" s="21"/>
      <c r="G24" s="11"/>
    </row>
    <row r="25" spans="1:7" s="2" customFormat="1" ht="17">
      <c r="A25" s="9"/>
      <c r="B25" s="36" t="s">
        <v>54</v>
      </c>
      <c r="C25" s="22"/>
      <c r="D25" s="22"/>
      <c r="E25" s="22"/>
      <c r="F25" s="23"/>
      <c r="G25" s="11"/>
    </row>
    <row r="26" spans="1:7" s="2" customFormat="1" ht="25.5" customHeight="1">
      <c r="A26" s="9"/>
      <c r="B26" s="37" t="s">
        <v>17</v>
      </c>
      <c r="C26" s="24">
        <f>2700*0.75</f>
        <v>2025</v>
      </c>
      <c r="D26" s="24">
        <v>2788</v>
      </c>
      <c r="E26" s="24">
        <f>+D26-C26</f>
        <v>763</v>
      </c>
      <c r="F26" s="25">
        <f>+D26/C26</f>
        <v>1.37679012345679</v>
      </c>
      <c r="G26" s="11"/>
    </row>
    <row r="27" spans="1:8" s="2" customFormat="1" ht="25.5" customHeight="1">
      <c r="A27" s="9"/>
      <c r="B27" s="32" t="s">
        <v>16</v>
      </c>
      <c r="C27" s="26">
        <f>2700-C26</f>
        <v>675</v>
      </c>
      <c r="D27" s="26">
        <v>821</v>
      </c>
      <c r="E27" s="26">
        <f>+D27-C27</f>
        <v>146</v>
      </c>
      <c r="F27" s="27">
        <f>+D27/C27</f>
        <v>1.2162962962962962</v>
      </c>
      <c r="G27" s="11"/>
      <c r="H27" s="130"/>
    </row>
    <row r="28" spans="1:7" s="2" customFormat="1" ht="25.5" customHeight="1">
      <c r="A28" s="9"/>
      <c r="B28" s="37" t="s">
        <v>82</v>
      </c>
      <c r="C28" s="24">
        <v>128</v>
      </c>
      <c r="D28" s="24">
        <v>182</v>
      </c>
      <c r="E28" s="24">
        <f>+D28-C28</f>
        <v>54</v>
      </c>
      <c r="F28" s="25">
        <v>1</v>
      </c>
      <c r="G28" s="11"/>
    </row>
    <row r="29" spans="1:7" s="2" customFormat="1" ht="30" customHeight="1" thickBot="1">
      <c r="A29" s="9"/>
      <c r="B29" s="38" t="s">
        <v>58</v>
      </c>
      <c r="C29" s="111">
        <f aca="true" t="shared" si="0" ref="C29">SUM(C26:C28)</f>
        <v>2828</v>
      </c>
      <c r="D29" s="111">
        <f>SUM(D26:D28)</f>
        <v>3791</v>
      </c>
      <c r="E29" s="111">
        <f aca="true" t="shared" si="1" ref="E29">SUM(E26:E28)</f>
        <v>963</v>
      </c>
      <c r="F29" s="112">
        <f>+D29/C29</f>
        <v>1.3405233380480905</v>
      </c>
      <c r="G29" s="11"/>
    </row>
    <row r="30" spans="1:7" s="2" customFormat="1" ht="18" thickTop="1">
      <c r="A30" s="9"/>
      <c r="B30" s="28"/>
      <c r="C30" s="28"/>
      <c r="D30" s="28"/>
      <c r="E30" s="28"/>
      <c r="F30" s="29"/>
      <c r="G30" s="11"/>
    </row>
    <row r="31" spans="1:7" s="2" customFormat="1" ht="17">
      <c r="A31" s="9"/>
      <c r="B31" s="36" t="s">
        <v>13</v>
      </c>
      <c r="C31" s="28"/>
      <c r="D31" s="28"/>
      <c r="E31" s="28"/>
      <c r="F31" s="29"/>
      <c r="G31" s="11"/>
    </row>
    <row r="32" spans="1:7" s="2" customFormat="1" ht="25.5" customHeight="1">
      <c r="A32" s="9"/>
      <c r="B32" s="37" t="s">
        <v>17</v>
      </c>
      <c r="C32" s="30">
        <f>+C26*390</f>
        <v>789750</v>
      </c>
      <c r="D32" s="30">
        <v>1556836</v>
      </c>
      <c r="E32" s="30">
        <f>+D32-C32</f>
        <v>767086</v>
      </c>
      <c r="F32" s="25">
        <f>+D32/C32</f>
        <v>1.9713023108578664</v>
      </c>
      <c r="G32" s="11"/>
    </row>
    <row r="33" spans="1:7" s="2" customFormat="1" ht="25.5" customHeight="1">
      <c r="A33" s="9"/>
      <c r="B33" s="32" t="s">
        <v>16</v>
      </c>
      <c r="C33" s="26">
        <f>+C27*390</f>
        <v>263250</v>
      </c>
      <c r="D33" s="26">
        <v>183245</v>
      </c>
      <c r="E33" s="26">
        <f>+D33-C33</f>
        <v>-80005</v>
      </c>
      <c r="F33" s="27">
        <f>+D33/C33</f>
        <v>0.6960873694207027</v>
      </c>
      <c r="G33" s="11"/>
    </row>
    <row r="34" spans="1:7" s="2" customFormat="1" ht="25.5" customHeight="1">
      <c r="A34" s="9"/>
      <c r="B34" s="37" t="s">
        <v>82</v>
      </c>
      <c r="C34" s="24">
        <v>16000</v>
      </c>
      <c r="D34" s="24">
        <v>26615</v>
      </c>
      <c r="E34" s="24">
        <f>+D34-C34</f>
        <v>10615</v>
      </c>
      <c r="F34" s="25">
        <v>1</v>
      </c>
      <c r="G34" s="11"/>
    </row>
    <row r="35" spans="1:7" s="2" customFormat="1" ht="30" customHeight="1" thickBot="1">
      <c r="A35" s="9"/>
      <c r="B35" s="38" t="s">
        <v>59</v>
      </c>
      <c r="C35" s="113">
        <f>SUM(C32:C34)</f>
        <v>1069000</v>
      </c>
      <c r="D35" s="113">
        <f aca="true" t="shared" si="2" ref="D35:E35">SUM(D32:D34)</f>
        <v>1766696</v>
      </c>
      <c r="E35" s="113">
        <f t="shared" si="2"/>
        <v>697696</v>
      </c>
      <c r="F35" s="112">
        <f>+D35/C35</f>
        <v>1.6526623012160897</v>
      </c>
      <c r="G35" s="11"/>
    </row>
    <row r="36" spans="1:7" s="2" customFormat="1" ht="25.5" customHeight="1" thickTop="1">
      <c r="A36" s="9"/>
      <c r="B36" s="32"/>
      <c r="C36" s="50"/>
      <c r="D36" s="50"/>
      <c r="E36" s="50"/>
      <c r="F36" s="57"/>
      <c r="G36" s="11"/>
    </row>
    <row r="37" spans="1:7" s="2" customFormat="1" ht="25.5" customHeight="1">
      <c r="A37" s="9"/>
      <c r="B37" s="34" t="s">
        <v>14</v>
      </c>
      <c r="C37" s="34">
        <v>75</v>
      </c>
      <c r="D37" s="34">
        <v>84</v>
      </c>
      <c r="E37" s="34">
        <f>+D37-C37</f>
        <v>9</v>
      </c>
      <c r="F37" s="35">
        <f>+D37/C37</f>
        <v>1.12</v>
      </c>
      <c r="G37" s="11"/>
    </row>
    <row r="38" spans="1:7" s="2" customFormat="1" ht="25.5" customHeight="1">
      <c r="A38" s="9"/>
      <c r="B38" s="32" t="s">
        <v>15</v>
      </c>
      <c r="C38" s="32">
        <v>11</v>
      </c>
      <c r="D38" s="32">
        <v>12</v>
      </c>
      <c r="E38" s="32">
        <f>+D38-C38</f>
        <v>1</v>
      </c>
      <c r="F38" s="27">
        <f>+D38/C38</f>
        <v>1.0909090909090908</v>
      </c>
      <c r="G38" s="11"/>
    </row>
    <row r="39" spans="1:7" ht="17" thickBot="1">
      <c r="A39" s="12"/>
      <c r="B39" s="13"/>
      <c r="C39" s="13"/>
      <c r="D39" s="13"/>
      <c r="E39" s="13"/>
      <c r="F39" s="13"/>
      <c r="G39" s="14"/>
    </row>
    <row r="40" ht="13.5" customHeight="1"/>
    <row r="41" ht="15.75" customHeight="1" thickBot="1"/>
    <row r="42" spans="1:7" ht="30.75" customHeight="1">
      <c r="A42" s="3"/>
      <c r="B42" s="244" t="s">
        <v>52</v>
      </c>
      <c r="C42" s="244"/>
      <c r="D42" s="244"/>
      <c r="E42" s="244"/>
      <c r="F42" s="244"/>
      <c r="G42" s="5"/>
    </row>
    <row r="43" spans="1:7" s="2" customFormat="1" ht="30">
      <c r="A43" s="9"/>
      <c r="B43" s="16"/>
      <c r="C43" s="16" t="s">
        <v>5</v>
      </c>
      <c r="D43" s="16" t="s">
        <v>7</v>
      </c>
      <c r="E43" s="159" t="s">
        <v>12</v>
      </c>
      <c r="F43" s="160" t="s">
        <v>10</v>
      </c>
      <c r="G43" s="15"/>
    </row>
    <row r="44" spans="1:7" s="2" customFormat="1" ht="15" thickBot="1">
      <c r="A44" s="9"/>
      <c r="B44" s="18" t="s">
        <v>4</v>
      </c>
      <c r="C44" s="18" t="s">
        <v>6</v>
      </c>
      <c r="D44" s="18" t="s">
        <v>8</v>
      </c>
      <c r="E44" s="18" t="s">
        <v>9</v>
      </c>
      <c r="F44" s="161" t="s">
        <v>11</v>
      </c>
      <c r="G44" s="15"/>
    </row>
    <row r="45" spans="1:7" s="2" customFormat="1" ht="22.5" customHeight="1">
      <c r="A45" s="9"/>
      <c r="B45" s="36"/>
      <c r="C45" s="22"/>
      <c r="D45" s="22"/>
      <c r="E45" s="22"/>
      <c r="F45" s="23"/>
      <c r="G45" s="11"/>
    </row>
    <row r="46" spans="1:7" s="2" customFormat="1" ht="25.5" customHeight="1">
      <c r="A46" s="9"/>
      <c r="B46" s="43" t="s">
        <v>81</v>
      </c>
      <c r="C46" s="24">
        <v>2828</v>
      </c>
      <c r="D46" s="24">
        <v>3791</v>
      </c>
      <c r="E46" s="24">
        <f>+D46-C46</f>
        <v>963</v>
      </c>
      <c r="F46" s="175">
        <f>+D46/C46</f>
        <v>1.3405233380480905</v>
      </c>
      <c r="G46" s="11"/>
    </row>
    <row r="47" spans="1:7" s="2" customFormat="1" ht="25.5" customHeight="1">
      <c r="A47" s="9"/>
      <c r="B47" s="43" t="s">
        <v>18</v>
      </c>
      <c r="C47" s="24">
        <v>2650</v>
      </c>
      <c r="D47" s="24">
        <v>2173</v>
      </c>
      <c r="E47" s="24">
        <f>+D47-C47</f>
        <v>-477</v>
      </c>
      <c r="F47" s="175">
        <f>+D47/C47</f>
        <v>0.82</v>
      </c>
      <c r="G47" s="11"/>
    </row>
    <row r="48" spans="1:7" s="2" customFormat="1" ht="30" customHeight="1">
      <c r="A48" s="9"/>
      <c r="B48" s="43" t="s">
        <v>19</v>
      </c>
      <c r="C48" s="24">
        <v>2300</v>
      </c>
      <c r="D48" s="24">
        <v>2158</v>
      </c>
      <c r="E48" s="24">
        <f>+D48-C48</f>
        <v>-142</v>
      </c>
      <c r="F48" s="175">
        <f aca="true" t="shared" si="3" ref="F48:F55">+D48/C48</f>
        <v>0.9382608695652174</v>
      </c>
      <c r="G48" s="11"/>
    </row>
    <row r="49" spans="1:7" s="2" customFormat="1" ht="25.5" customHeight="1">
      <c r="A49" s="9"/>
      <c r="B49" s="44" t="s">
        <v>20</v>
      </c>
      <c r="C49" s="26">
        <v>1700</v>
      </c>
      <c r="D49" s="26">
        <v>3481</v>
      </c>
      <c r="E49" s="26">
        <f aca="true" t="shared" si="4" ref="E49:E55">+D49-C49</f>
        <v>1781</v>
      </c>
      <c r="F49" s="151">
        <f t="shared" si="3"/>
        <v>2.0476470588235296</v>
      </c>
      <c r="G49" s="11"/>
    </row>
    <row r="50" spans="1:7" s="2" customFormat="1" ht="30" customHeight="1">
      <c r="A50" s="9"/>
      <c r="B50" s="45" t="s">
        <v>21</v>
      </c>
      <c r="C50" s="24">
        <v>2700</v>
      </c>
      <c r="D50" s="24">
        <v>1943</v>
      </c>
      <c r="E50" s="24">
        <f t="shared" si="4"/>
        <v>-757</v>
      </c>
      <c r="F50" s="175">
        <f t="shared" si="3"/>
        <v>0.7196296296296296</v>
      </c>
      <c r="G50" s="11"/>
    </row>
    <row r="51" spans="1:7" s="2" customFormat="1" ht="30" customHeight="1">
      <c r="A51" s="9"/>
      <c r="B51" s="44" t="s">
        <v>22</v>
      </c>
      <c r="C51" s="26">
        <v>3300</v>
      </c>
      <c r="D51" s="26">
        <v>2572</v>
      </c>
      <c r="E51" s="26">
        <f t="shared" si="4"/>
        <v>-728</v>
      </c>
      <c r="F51" s="151">
        <f t="shared" si="3"/>
        <v>0.7793939393939394</v>
      </c>
      <c r="G51" s="11"/>
    </row>
    <row r="52" spans="1:7" s="2" customFormat="1" ht="30" customHeight="1">
      <c r="A52" s="9"/>
      <c r="B52" s="45" t="s">
        <v>23</v>
      </c>
      <c r="C52" s="24">
        <v>4200</v>
      </c>
      <c r="D52" s="24">
        <v>3974</v>
      </c>
      <c r="E52" s="24">
        <f t="shared" si="4"/>
        <v>-226</v>
      </c>
      <c r="F52" s="175">
        <f t="shared" si="3"/>
        <v>0.9461904761904761</v>
      </c>
      <c r="G52" s="11"/>
    </row>
    <row r="53" spans="1:7" s="2" customFormat="1" ht="30" customHeight="1">
      <c r="A53" s="9"/>
      <c r="B53" s="44" t="s">
        <v>24</v>
      </c>
      <c r="C53" s="26">
        <v>4000</v>
      </c>
      <c r="D53" s="26">
        <v>4537</v>
      </c>
      <c r="E53" s="26">
        <f t="shared" si="4"/>
        <v>537</v>
      </c>
      <c r="F53" s="151">
        <f t="shared" si="3"/>
        <v>1.13425</v>
      </c>
      <c r="G53" s="11"/>
    </row>
    <row r="54" spans="1:7" s="2" customFormat="1" ht="30" customHeight="1">
      <c r="A54" s="9"/>
      <c r="B54" s="45" t="s">
        <v>25</v>
      </c>
      <c r="C54" s="24">
        <v>4145</v>
      </c>
      <c r="D54" s="24">
        <v>4179</v>
      </c>
      <c r="E54" s="24">
        <f t="shared" si="4"/>
        <v>34</v>
      </c>
      <c r="F54" s="175">
        <f t="shared" si="3"/>
        <v>1.0082026537997588</v>
      </c>
      <c r="G54" s="11"/>
    </row>
    <row r="55" spans="1:7" s="2" customFormat="1" ht="30" customHeight="1">
      <c r="A55" s="9"/>
      <c r="B55" s="44" t="s">
        <v>26</v>
      </c>
      <c r="C55" s="26">
        <v>3600</v>
      </c>
      <c r="D55" s="26">
        <v>4997</v>
      </c>
      <c r="E55" s="26">
        <f t="shared" si="4"/>
        <v>1397</v>
      </c>
      <c r="F55" s="151">
        <f t="shared" si="3"/>
        <v>1.3880555555555556</v>
      </c>
      <c r="G55" s="11"/>
    </row>
    <row r="56" spans="1:7" ht="17" thickBot="1">
      <c r="A56" s="12"/>
      <c r="B56" s="13"/>
      <c r="C56" s="13"/>
      <c r="D56" s="13"/>
      <c r="E56" s="13"/>
      <c r="F56" s="13"/>
      <c r="G56" s="14"/>
    </row>
    <row r="57" s="7" customFormat="1" ht="19.5" customHeight="1"/>
    <row r="58" s="7" customFormat="1" ht="19.5" customHeight="1" thickBot="1"/>
    <row r="59" spans="1:7" ht="15">
      <c r="A59" s="3"/>
      <c r="B59" s="4"/>
      <c r="C59" s="4"/>
      <c r="D59" s="4"/>
      <c r="E59" s="4"/>
      <c r="F59" s="4"/>
      <c r="G59" s="5"/>
    </row>
    <row r="60" spans="1:12" s="2" customFormat="1" ht="30">
      <c r="A60" s="9"/>
      <c r="B60" s="16"/>
      <c r="C60" s="16" t="s">
        <v>5</v>
      </c>
      <c r="D60" s="16" t="s">
        <v>7</v>
      </c>
      <c r="E60" s="159" t="s">
        <v>12</v>
      </c>
      <c r="F60" s="160" t="s">
        <v>10</v>
      </c>
      <c r="G60" s="15"/>
      <c r="H60"/>
      <c r="I60"/>
      <c r="J60"/>
      <c r="K60"/>
      <c r="L60"/>
    </row>
    <row r="61" spans="1:12" s="2" customFormat="1" ht="15" thickBot="1">
      <c r="A61" s="9"/>
      <c r="B61" s="18" t="s">
        <v>4</v>
      </c>
      <c r="C61" s="18" t="s">
        <v>6</v>
      </c>
      <c r="D61" s="18" t="s">
        <v>8</v>
      </c>
      <c r="E61" s="18" t="s">
        <v>9</v>
      </c>
      <c r="F61" s="161" t="s">
        <v>11</v>
      </c>
      <c r="G61" s="15"/>
      <c r="H61"/>
      <c r="I61"/>
      <c r="J61"/>
      <c r="K61"/>
      <c r="L61"/>
    </row>
    <row r="62" spans="1:12" s="2" customFormat="1" ht="17">
      <c r="A62" s="9"/>
      <c r="B62" s="47"/>
      <c r="C62" s="20"/>
      <c r="D62" s="20"/>
      <c r="E62" s="20"/>
      <c r="F62" s="21"/>
      <c r="G62" s="11"/>
      <c r="H62"/>
      <c r="I62"/>
      <c r="J62"/>
      <c r="K62"/>
      <c r="L62"/>
    </row>
    <row r="63" spans="1:12" s="2" customFormat="1" ht="21" customHeight="1">
      <c r="A63" s="9"/>
      <c r="B63" s="50" t="s">
        <v>78</v>
      </c>
      <c r="C63" s="48"/>
      <c r="D63" s="48"/>
      <c r="E63" s="48"/>
      <c r="F63" s="49"/>
      <c r="G63" s="11"/>
      <c r="H63"/>
      <c r="I63"/>
      <c r="J63"/>
      <c r="K63"/>
      <c r="L63"/>
    </row>
    <row r="64" spans="1:12" s="2" customFormat="1" ht="30" customHeight="1">
      <c r="A64" s="9"/>
      <c r="B64" s="120" t="s">
        <v>74</v>
      </c>
      <c r="C64" s="79">
        <v>65000</v>
      </c>
      <c r="D64" s="24">
        <v>92500</v>
      </c>
      <c r="E64" s="24">
        <f aca="true" t="shared" si="5" ref="E64:E66">+D64-C64</f>
        <v>27500</v>
      </c>
      <c r="F64" s="25">
        <f aca="true" t="shared" si="6" ref="F64:F67">+D64/C64</f>
        <v>1.4230769230769231</v>
      </c>
      <c r="G64" s="11"/>
      <c r="H64"/>
      <c r="I64"/>
      <c r="J64"/>
      <c r="K64"/>
      <c r="L64"/>
    </row>
    <row r="65" spans="1:12" s="2" customFormat="1" ht="30" customHeight="1">
      <c r="A65" s="9"/>
      <c r="B65" s="50" t="s">
        <v>75</v>
      </c>
      <c r="C65" s="64">
        <v>4500</v>
      </c>
      <c r="D65" s="64">
        <v>8375</v>
      </c>
      <c r="E65" s="147">
        <f t="shared" si="5"/>
        <v>3875</v>
      </c>
      <c r="F65" s="69">
        <f t="shared" si="6"/>
        <v>1.8611111111111112</v>
      </c>
      <c r="G65" s="11"/>
      <c r="H65"/>
      <c r="I65"/>
      <c r="J65"/>
      <c r="K65"/>
      <c r="L65"/>
    </row>
    <row r="66" spans="1:12" s="2" customFormat="1" ht="30" customHeight="1">
      <c r="A66" s="9"/>
      <c r="B66" s="120" t="s">
        <v>76</v>
      </c>
      <c r="C66" s="79">
        <v>4000</v>
      </c>
      <c r="D66" s="24">
        <v>70355</v>
      </c>
      <c r="E66" s="24">
        <f t="shared" si="5"/>
        <v>66355</v>
      </c>
      <c r="F66" s="25">
        <f t="shared" si="6"/>
        <v>17.58875</v>
      </c>
      <c r="G66" s="11"/>
      <c r="H66"/>
      <c r="I66"/>
      <c r="J66"/>
      <c r="K66"/>
      <c r="L66"/>
    </row>
    <row r="67" spans="1:12" s="2" customFormat="1" ht="30" customHeight="1">
      <c r="A67" s="9"/>
      <c r="B67" s="50" t="s">
        <v>77</v>
      </c>
      <c r="C67" s="74">
        <f>SUM(C63:C66)</f>
        <v>73500</v>
      </c>
      <c r="D67" s="74">
        <f aca="true" t="shared" si="7" ref="D67:E67">SUM(D63:D66)</f>
        <v>171230</v>
      </c>
      <c r="E67" s="74">
        <f t="shared" si="7"/>
        <v>97730</v>
      </c>
      <c r="F67" s="151">
        <f t="shared" si="6"/>
        <v>2.329659863945578</v>
      </c>
      <c r="G67" s="11"/>
      <c r="H67"/>
      <c r="I67"/>
      <c r="J67"/>
      <c r="K67"/>
      <c r="L67"/>
    </row>
    <row r="68" spans="1:12" s="2" customFormat="1" ht="24.75" customHeight="1">
      <c r="A68" s="9"/>
      <c r="B68" s="58" t="s">
        <v>27</v>
      </c>
      <c r="C68" s="65"/>
      <c r="D68" s="65"/>
      <c r="E68" s="65"/>
      <c r="F68" s="152"/>
      <c r="G68" s="11"/>
      <c r="H68"/>
      <c r="I68"/>
      <c r="J68"/>
      <c r="K68"/>
      <c r="L68"/>
    </row>
    <row r="69" spans="1:12" s="2" customFormat="1" ht="24.75" customHeight="1">
      <c r="A69" s="122"/>
      <c r="B69" s="148" t="s">
        <v>28</v>
      </c>
      <c r="C69" s="67">
        <v>128</v>
      </c>
      <c r="D69" s="149">
        <v>182</v>
      </c>
      <c r="E69" s="149">
        <f>+D69-C69</f>
        <v>54</v>
      </c>
      <c r="F69" s="150">
        <f>+D69/C69</f>
        <v>1.421875</v>
      </c>
      <c r="G69" s="11"/>
      <c r="H69"/>
      <c r="I69"/>
      <c r="J69"/>
      <c r="K69"/>
      <c r="L69"/>
    </row>
    <row r="70" spans="1:12" s="2" customFormat="1" ht="30" customHeight="1">
      <c r="A70" s="9"/>
      <c r="B70" s="32"/>
      <c r="C70" s="121"/>
      <c r="D70" s="121"/>
      <c r="E70" s="121"/>
      <c r="F70" s="121"/>
      <c r="G70" s="11"/>
      <c r="H70"/>
      <c r="I70"/>
      <c r="J70"/>
      <c r="K70"/>
      <c r="L70"/>
    </row>
    <row r="71" spans="1:12" s="2" customFormat="1" ht="24.75" customHeight="1">
      <c r="A71" s="9"/>
      <c r="B71" s="125"/>
      <c r="C71" s="126"/>
      <c r="D71" s="126"/>
      <c r="E71" s="126"/>
      <c r="F71" s="126"/>
      <c r="G71" s="11"/>
      <c r="H71"/>
      <c r="I71"/>
      <c r="J71"/>
      <c r="K71"/>
      <c r="L71"/>
    </row>
    <row r="72" spans="1:7" ht="17" thickBot="1">
      <c r="A72" s="12"/>
      <c r="B72" s="13"/>
      <c r="C72" s="13"/>
      <c r="D72" s="13"/>
      <c r="E72" s="13"/>
      <c r="F72" s="13"/>
      <c r="G72" s="14"/>
    </row>
    <row r="73" ht="20.25" customHeight="1" thickBot="1"/>
    <row r="74" spans="1:7" ht="15">
      <c r="A74" s="3"/>
      <c r="B74" s="4"/>
      <c r="C74" s="4"/>
      <c r="D74" s="4"/>
      <c r="E74" s="4"/>
      <c r="F74" s="4"/>
      <c r="G74" s="5"/>
    </row>
    <row r="75" spans="1:7" ht="30">
      <c r="A75" s="9"/>
      <c r="B75" s="16"/>
      <c r="C75" s="16" t="s">
        <v>5</v>
      </c>
      <c r="D75" s="16" t="s">
        <v>7</v>
      </c>
      <c r="E75" s="159" t="s">
        <v>12</v>
      </c>
      <c r="F75" s="160" t="s">
        <v>10</v>
      </c>
      <c r="G75" s="15"/>
    </row>
    <row r="76" spans="1:7" ht="17" thickBot="1">
      <c r="A76" s="9"/>
      <c r="B76" s="18" t="s">
        <v>4</v>
      </c>
      <c r="C76" s="18" t="s">
        <v>6</v>
      </c>
      <c r="D76" s="18" t="s">
        <v>8</v>
      </c>
      <c r="E76" s="18" t="s">
        <v>9</v>
      </c>
      <c r="F76" s="161" t="s">
        <v>11</v>
      </c>
      <c r="G76" s="15"/>
    </row>
    <row r="77" spans="1:11" ht="17">
      <c r="A77" s="9"/>
      <c r="B77" s="51" t="s">
        <v>29</v>
      </c>
      <c r="C77" s="56"/>
      <c r="D77" s="56"/>
      <c r="E77" s="28"/>
      <c r="F77" s="68"/>
      <c r="G77" s="11"/>
      <c r="J77"/>
      <c r="K77"/>
    </row>
    <row r="78" spans="1:11" ht="17">
      <c r="A78" s="9"/>
      <c r="B78" s="50" t="s">
        <v>73</v>
      </c>
      <c r="C78" s="28">
        <v>500</v>
      </c>
      <c r="D78" s="28">
        <v>663</v>
      </c>
      <c r="E78" s="63">
        <f>+D78-C78</f>
        <v>163</v>
      </c>
      <c r="F78" s="146">
        <f>+D78/C78</f>
        <v>1.326</v>
      </c>
      <c r="G78" s="11"/>
      <c r="J78"/>
      <c r="K78"/>
    </row>
    <row r="79" spans="1:11" ht="17">
      <c r="A79" s="9"/>
      <c r="B79" s="54" t="s">
        <v>30</v>
      </c>
      <c r="C79" s="58"/>
      <c r="D79" s="58"/>
      <c r="E79" s="65"/>
      <c r="F79" s="70"/>
      <c r="G79" s="11"/>
      <c r="J79"/>
      <c r="K79"/>
    </row>
    <row r="80" spans="1:11" ht="17">
      <c r="A80" s="9"/>
      <c r="B80" s="61" t="s">
        <v>72</v>
      </c>
      <c r="C80" s="60">
        <v>500</v>
      </c>
      <c r="D80" s="60">
        <v>521</v>
      </c>
      <c r="E80" s="66">
        <f>+D80-C80</f>
        <v>21</v>
      </c>
      <c r="F80" s="145">
        <f>+D80/C80</f>
        <v>1.042</v>
      </c>
      <c r="G80" s="11"/>
      <c r="J80"/>
      <c r="K80"/>
    </row>
    <row r="81" spans="1:11" ht="17">
      <c r="A81" s="9"/>
      <c r="B81" s="51"/>
      <c r="C81" s="56"/>
      <c r="D81" s="56"/>
      <c r="E81" s="62"/>
      <c r="F81" s="68"/>
      <c r="G81" s="11"/>
      <c r="J81"/>
      <c r="K81"/>
    </row>
    <row r="82" spans="1:11" ht="17">
      <c r="A82" s="9"/>
      <c r="B82" s="50" t="s">
        <v>38</v>
      </c>
      <c r="C82" s="28">
        <v>140</v>
      </c>
      <c r="D82" s="28">
        <v>178</v>
      </c>
      <c r="E82" s="63">
        <f>+D82-C82</f>
        <v>38</v>
      </c>
      <c r="F82" s="146">
        <f>+D82/C82</f>
        <v>1.2714285714285714</v>
      </c>
      <c r="G82" s="11"/>
      <c r="J82"/>
      <c r="K82"/>
    </row>
    <row r="83" spans="1:11" ht="17">
      <c r="A83" s="9"/>
      <c r="B83" s="54" t="s">
        <v>31</v>
      </c>
      <c r="C83" s="58"/>
      <c r="D83" s="58"/>
      <c r="E83" s="65"/>
      <c r="F83" s="70"/>
      <c r="G83" s="11"/>
      <c r="J83"/>
      <c r="K83"/>
    </row>
    <row r="84" spans="1:11" ht="17">
      <c r="A84" s="9"/>
      <c r="B84" s="55" t="s">
        <v>32</v>
      </c>
      <c r="C84" s="61">
        <v>202</v>
      </c>
      <c r="D84" s="61">
        <v>176</v>
      </c>
      <c r="E84" s="67">
        <f>+D84-C84</f>
        <v>-26</v>
      </c>
      <c r="F84" s="71">
        <f>+D84/C84</f>
        <v>0.8712871287128713</v>
      </c>
      <c r="G84" s="11"/>
      <c r="J84"/>
      <c r="K84"/>
    </row>
    <row r="85" spans="1:11" ht="17">
      <c r="A85" s="9"/>
      <c r="B85" s="51"/>
      <c r="C85" s="28"/>
      <c r="D85" s="28"/>
      <c r="E85" s="63"/>
      <c r="F85" s="63"/>
      <c r="G85" s="11"/>
      <c r="J85"/>
      <c r="K85"/>
    </row>
    <row r="86" spans="1:7" ht="17">
      <c r="A86" s="9"/>
      <c r="B86" s="52" t="s">
        <v>89</v>
      </c>
      <c r="C86" s="50">
        <v>0</v>
      </c>
      <c r="D86" s="50">
        <v>25</v>
      </c>
      <c r="E86" s="64">
        <f>+D86-C86</f>
        <v>25</v>
      </c>
      <c r="F86" s="146">
        <v>1</v>
      </c>
      <c r="G86" s="11"/>
    </row>
    <row r="87" spans="1:7" ht="17">
      <c r="A87" s="9"/>
      <c r="B87" s="54"/>
      <c r="C87" s="60"/>
      <c r="D87" s="60"/>
      <c r="E87" s="66"/>
      <c r="F87" s="70"/>
      <c r="G87" s="11"/>
    </row>
    <row r="88" spans="1:7" ht="17">
      <c r="A88" s="9"/>
      <c r="B88" s="61" t="s">
        <v>90</v>
      </c>
      <c r="C88" s="61">
        <v>0</v>
      </c>
      <c r="D88" s="61">
        <v>34</v>
      </c>
      <c r="E88" s="67">
        <f>+D88-C88</f>
        <v>34</v>
      </c>
      <c r="F88" s="71">
        <v>1</v>
      </c>
      <c r="G88" s="11"/>
    </row>
    <row r="89" spans="1:7" ht="17" thickBot="1">
      <c r="A89" s="12"/>
      <c r="B89" s="13"/>
      <c r="C89" s="13"/>
      <c r="D89" s="13"/>
      <c r="E89" s="13"/>
      <c r="F89" s="13"/>
      <c r="G89" s="14"/>
    </row>
    <row r="90" spans="1:7" ht="15.75" customHeight="1">
      <c r="A90" s="7"/>
      <c r="B90" s="7"/>
      <c r="C90" s="7"/>
      <c r="D90" s="7"/>
      <c r="E90" s="7"/>
      <c r="F90" s="7"/>
      <c r="G90" s="7"/>
    </row>
    <row r="91" spans="1:7" ht="15.75" customHeight="1" thickBot="1">
      <c r="A91" s="7"/>
      <c r="B91" s="7"/>
      <c r="C91" s="7"/>
      <c r="D91" s="7"/>
      <c r="E91" s="7"/>
      <c r="F91" s="7"/>
      <c r="G91" s="7"/>
    </row>
    <row r="92" spans="1:7" ht="15">
      <c r="A92" s="3"/>
      <c r="B92" s="4"/>
      <c r="C92" s="4"/>
      <c r="D92" s="4"/>
      <c r="E92" s="4"/>
      <c r="F92" s="4"/>
      <c r="G92" s="5"/>
    </row>
    <row r="93" spans="1:9" ht="17">
      <c r="A93" s="9"/>
      <c r="B93" s="233"/>
      <c r="C93" s="234"/>
      <c r="D93" s="234"/>
      <c r="E93" s="234"/>
      <c r="F93" s="235"/>
      <c r="G93" s="15"/>
      <c r="I93" s="157"/>
    </row>
    <row r="94" spans="1:7" ht="17">
      <c r="A94" s="9"/>
      <c r="B94" s="233" t="s">
        <v>55</v>
      </c>
      <c r="C94" s="234"/>
      <c r="D94" s="234"/>
      <c r="E94" s="234"/>
      <c r="F94" s="235"/>
      <c r="G94" s="15"/>
    </row>
    <row r="95" spans="1:7" ht="17">
      <c r="A95" s="9"/>
      <c r="B95" s="132"/>
      <c r="C95" s="162" t="s">
        <v>95</v>
      </c>
      <c r="D95" s="76" t="s">
        <v>96</v>
      </c>
      <c r="E95" s="76" t="s">
        <v>97</v>
      </c>
      <c r="F95" s="29"/>
      <c r="G95" s="11"/>
    </row>
    <row r="96" spans="1:7" ht="17">
      <c r="A96" s="9"/>
      <c r="B96" s="82"/>
      <c r="C96" s="123" t="s">
        <v>8</v>
      </c>
      <c r="D96" s="123" t="s">
        <v>8</v>
      </c>
      <c r="E96" s="123" t="s">
        <v>98</v>
      </c>
      <c r="F96" s="134" t="s">
        <v>66</v>
      </c>
      <c r="G96" s="11"/>
    </row>
    <row r="97" spans="1:9" ht="25.5" customHeight="1">
      <c r="A97" s="9"/>
      <c r="B97" s="83" t="s">
        <v>91</v>
      </c>
      <c r="C97" s="141">
        <v>149</v>
      </c>
      <c r="D97" s="141">
        <v>175</v>
      </c>
      <c r="E97" s="141">
        <f>+D97+C97</f>
        <v>324</v>
      </c>
      <c r="F97" s="135">
        <f>+E97/E101</f>
        <v>0.08546557636507518</v>
      </c>
      <c r="G97" s="11"/>
      <c r="H97" s="182">
        <f>+C97/$C$101</f>
        <v>0.14163498098859315</v>
      </c>
      <c r="I97" s="182">
        <f>+D97/$D$101</f>
        <v>0.06389193136181089</v>
      </c>
    </row>
    <row r="98" spans="1:9" ht="25.5" customHeight="1">
      <c r="A98" s="9"/>
      <c r="B98" s="84" t="s">
        <v>92</v>
      </c>
      <c r="C98" s="142">
        <v>187</v>
      </c>
      <c r="D98" s="142">
        <v>1011</v>
      </c>
      <c r="E98" s="142">
        <f>+D98+C98</f>
        <v>1198</v>
      </c>
      <c r="F98" s="136">
        <f>+E98/E101</f>
        <v>0.3160116064362965</v>
      </c>
      <c r="G98" s="11"/>
      <c r="H98" s="182">
        <f aca="true" t="shared" si="8" ref="H98:H100">+C98/$C$101</f>
        <v>0.17775665399239543</v>
      </c>
      <c r="I98" s="182">
        <f aca="true" t="shared" si="9" ref="I98:I100">+D98/$D$101</f>
        <v>0.36911281489594744</v>
      </c>
    </row>
    <row r="99" spans="1:9" ht="25.5" customHeight="1">
      <c r="A99" s="9"/>
      <c r="B99" s="83" t="s">
        <v>94</v>
      </c>
      <c r="C99" s="141">
        <v>612</v>
      </c>
      <c r="D99" s="141">
        <v>1475</v>
      </c>
      <c r="E99" s="141">
        <f>+D99+C99</f>
        <v>2087</v>
      </c>
      <c r="F99" s="135">
        <f>+E99/E101</f>
        <v>0.5505143761540491</v>
      </c>
      <c r="G99" s="11"/>
      <c r="H99" s="182">
        <f t="shared" si="8"/>
        <v>0.5817490494296578</v>
      </c>
      <c r="I99" s="182">
        <f t="shared" si="9"/>
        <v>0.538517707192406</v>
      </c>
    </row>
    <row r="100" spans="1:9" ht="25.5" customHeight="1" thickBot="1">
      <c r="A100" s="9"/>
      <c r="B100" s="84" t="s">
        <v>93</v>
      </c>
      <c r="C100" s="143">
        <v>104</v>
      </c>
      <c r="D100" s="143">
        <v>78</v>
      </c>
      <c r="E100" s="143">
        <f>+D100+C100</f>
        <v>182</v>
      </c>
      <c r="F100" s="137">
        <f>+E100/E101</f>
        <v>0.04800844104457927</v>
      </c>
      <c r="G100" s="11"/>
      <c r="H100" s="182">
        <f t="shared" si="8"/>
        <v>0.09885931558935361</v>
      </c>
      <c r="I100" s="182">
        <f t="shared" si="9"/>
        <v>0.028477546549835708</v>
      </c>
    </row>
    <row r="101" spans="1:7" ht="25.5" customHeight="1" thickBot="1">
      <c r="A101" s="9"/>
      <c r="B101" s="176" t="s">
        <v>65</v>
      </c>
      <c r="C101" s="144">
        <f>SUM(C97:C100)</f>
        <v>1052</v>
      </c>
      <c r="D101" s="144">
        <f>SUM(D97:D100)</f>
        <v>2739</v>
      </c>
      <c r="E101" s="144">
        <f>SUM(E97:E100)</f>
        <v>3791</v>
      </c>
      <c r="F101" s="140">
        <f>+D101/$D$101</f>
        <v>1</v>
      </c>
      <c r="G101" s="11"/>
    </row>
    <row r="102" spans="1:7" ht="25.5" customHeight="1" thickTop="1">
      <c r="A102" s="9"/>
      <c r="B102" s="83"/>
      <c r="C102" s="163">
        <f>+C101/E101</f>
        <v>0.27749934054339226</v>
      </c>
      <c r="D102" s="163">
        <f>+D101/E101</f>
        <v>0.7225006594566078</v>
      </c>
      <c r="E102" s="34"/>
      <c r="F102" s="35"/>
      <c r="G102" s="11"/>
    </row>
    <row r="103" spans="1:7" ht="25.5" customHeight="1">
      <c r="A103" s="9"/>
      <c r="B103" s="52"/>
      <c r="C103" s="33"/>
      <c r="D103" s="32"/>
      <c r="E103" s="32"/>
      <c r="F103" s="27"/>
      <c r="G103" s="11"/>
    </row>
    <row r="104" spans="1:7" ht="21" thickBot="1">
      <c r="A104" s="12"/>
      <c r="B104" s="75"/>
      <c r="C104" s="75"/>
      <c r="D104" s="75"/>
      <c r="E104" s="75"/>
      <c r="F104" s="75"/>
      <c r="G104" s="14"/>
    </row>
    <row r="105" ht="6" customHeight="1" thickBot="1"/>
    <row r="106" spans="1:7" ht="15">
      <c r="A106" s="3"/>
      <c r="B106" s="4"/>
      <c r="C106" s="4"/>
      <c r="D106" s="4"/>
      <c r="E106" s="4"/>
      <c r="F106" s="4"/>
      <c r="G106" s="5"/>
    </row>
    <row r="107" spans="1:7" ht="17">
      <c r="A107" s="9"/>
      <c r="B107" s="233"/>
      <c r="C107" s="234"/>
      <c r="D107" s="234"/>
      <c r="E107" s="234"/>
      <c r="F107" s="235"/>
      <c r="G107" s="15"/>
    </row>
    <row r="108" spans="1:7" ht="17">
      <c r="A108" s="9"/>
      <c r="B108" s="153"/>
      <c r="C108" s="245" t="s">
        <v>99</v>
      </c>
      <c r="D108" s="246"/>
      <c r="E108" s="246"/>
      <c r="F108" s="247"/>
      <c r="G108" s="15"/>
    </row>
    <row r="109" spans="1:7" ht="9.75" customHeight="1">
      <c r="A109" s="9"/>
      <c r="B109" s="171"/>
      <c r="C109" s="42"/>
      <c r="D109" s="91"/>
      <c r="E109" s="91"/>
      <c r="F109" s="78"/>
      <c r="G109" s="11"/>
    </row>
    <row r="110" spans="1:7" ht="9.75" customHeight="1">
      <c r="A110" s="9"/>
      <c r="B110" s="172"/>
      <c r="C110" s="92"/>
      <c r="D110" s="92"/>
      <c r="E110" s="92"/>
      <c r="F110" s="179"/>
      <c r="G110" s="11"/>
    </row>
    <row r="111" spans="1:8" ht="17">
      <c r="A111" s="9"/>
      <c r="B111" s="173"/>
      <c r="C111" s="167" t="s">
        <v>56</v>
      </c>
      <c r="D111" s="167"/>
      <c r="E111" s="164"/>
      <c r="F111" s="24">
        <v>1052</v>
      </c>
      <c r="G111" s="11"/>
      <c r="H111" s="130"/>
    </row>
    <row r="112" spans="1:7" ht="17">
      <c r="A112" s="9"/>
      <c r="B112" s="173"/>
      <c r="C112" s="168" t="s">
        <v>57</v>
      </c>
      <c r="D112" s="168"/>
      <c r="E112" s="95"/>
      <c r="F112" s="26">
        <v>2739</v>
      </c>
      <c r="G112" s="11"/>
    </row>
    <row r="113" spans="1:7" ht="17">
      <c r="A113" s="9"/>
      <c r="B113" s="174"/>
      <c r="C113" s="169" t="s">
        <v>39</v>
      </c>
      <c r="D113" s="169"/>
      <c r="E113" s="164"/>
      <c r="F113" s="180">
        <f>SUM(F111:F112)</f>
        <v>3791</v>
      </c>
      <c r="G113" s="11"/>
    </row>
    <row r="114" spans="1:7" ht="21" customHeight="1">
      <c r="A114" s="9"/>
      <c r="B114" s="173"/>
      <c r="C114" s="168"/>
      <c r="D114" s="168"/>
      <c r="E114" s="95"/>
      <c r="F114" s="26"/>
      <c r="G114" s="11"/>
    </row>
    <row r="115" spans="1:7" ht="17">
      <c r="A115" s="9"/>
      <c r="B115" s="173"/>
      <c r="C115" s="167" t="s">
        <v>69</v>
      </c>
      <c r="D115" s="167"/>
      <c r="E115" s="165"/>
      <c r="F115" s="30">
        <f>1659436-F116</f>
        <v>1643843</v>
      </c>
      <c r="G115" s="11"/>
    </row>
    <row r="116" spans="1:11" ht="17">
      <c r="A116" s="9"/>
      <c r="B116" s="173"/>
      <c r="C116" s="168" t="s">
        <v>70</v>
      </c>
      <c r="D116" s="168"/>
      <c r="E116" s="166">
        <f>F116/F117</f>
        <v>0.009396566062204266</v>
      </c>
      <c r="F116" s="26">
        <v>15593</v>
      </c>
      <c r="G116" s="11"/>
      <c r="J116" s="154"/>
      <c r="K116" s="155"/>
    </row>
    <row r="117" spans="1:11" ht="17">
      <c r="A117" s="9"/>
      <c r="B117" s="174"/>
      <c r="C117" s="170" t="s">
        <v>40</v>
      </c>
      <c r="D117" s="170"/>
      <c r="E117" s="98"/>
      <c r="F117" s="181">
        <f>SUM(F115:F116)</f>
        <v>1659436</v>
      </c>
      <c r="G117" s="11"/>
      <c r="J117" s="154"/>
      <c r="K117" s="155"/>
    </row>
    <row r="118" spans="1:11" ht="17">
      <c r="A118" s="9"/>
      <c r="B118" s="173"/>
      <c r="C118" s="167" t="s">
        <v>83</v>
      </c>
      <c r="D118" s="167"/>
      <c r="E118" s="97"/>
      <c r="F118" s="24">
        <v>22000</v>
      </c>
      <c r="G118" s="11"/>
      <c r="J118" s="154"/>
      <c r="K118" s="155"/>
    </row>
    <row r="119" spans="1:11" ht="17">
      <c r="A119" s="9"/>
      <c r="B119" s="173"/>
      <c r="C119" s="168" t="s">
        <v>38</v>
      </c>
      <c r="D119" s="168"/>
      <c r="E119" s="96"/>
      <c r="F119" s="26">
        <v>8900</v>
      </c>
      <c r="G119" s="11"/>
      <c r="J119" s="154"/>
      <c r="K119" s="155"/>
    </row>
    <row r="120" spans="1:11" ht="17">
      <c r="A120" s="9"/>
      <c r="B120" s="173"/>
      <c r="C120" s="167" t="s">
        <v>84</v>
      </c>
      <c r="D120" s="167"/>
      <c r="E120" s="97"/>
      <c r="F120" s="24">
        <v>33150</v>
      </c>
      <c r="G120" s="11"/>
      <c r="J120" s="154"/>
      <c r="K120" s="155"/>
    </row>
    <row r="121" spans="1:11" ht="17">
      <c r="A121" s="9"/>
      <c r="B121" s="173"/>
      <c r="C121" s="168" t="s">
        <v>85</v>
      </c>
      <c r="D121" s="168"/>
      <c r="E121" s="96"/>
      <c r="F121" s="26">
        <v>31260</v>
      </c>
      <c r="G121" s="11"/>
      <c r="J121" s="154"/>
      <c r="K121" s="155"/>
    </row>
    <row r="122" spans="1:11" ht="17">
      <c r="A122" s="9"/>
      <c r="B122" s="173"/>
      <c r="C122" s="167" t="s">
        <v>86</v>
      </c>
      <c r="D122" s="167"/>
      <c r="E122" s="97"/>
      <c r="F122" s="24">
        <v>10250</v>
      </c>
      <c r="G122" s="11"/>
      <c r="J122" s="154"/>
      <c r="K122" s="155"/>
    </row>
    <row r="123" spans="1:11" ht="18" thickBot="1">
      <c r="A123" s="9"/>
      <c r="B123" s="173"/>
      <c r="C123" s="168" t="s">
        <v>88</v>
      </c>
      <c r="D123" s="168"/>
      <c r="E123" s="96"/>
      <c r="F123" s="26">
        <v>1700</v>
      </c>
      <c r="G123" s="11"/>
      <c r="J123" s="154"/>
      <c r="K123" s="155"/>
    </row>
    <row r="124" spans="1:11" ht="18" thickBot="1">
      <c r="A124" s="9"/>
      <c r="B124" s="173"/>
      <c r="C124" s="177" t="s">
        <v>87</v>
      </c>
      <c r="D124" s="177"/>
      <c r="E124" s="178"/>
      <c r="F124" s="156">
        <f>SUM(F117:F123)</f>
        <v>1766696</v>
      </c>
      <c r="G124" s="11"/>
      <c r="J124" s="154"/>
      <c r="K124" s="155"/>
    </row>
    <row r="125" spans="1:7" ht="6" customHeight="1" thickBot="1" thickTop="1">
      <c r="A125" s="12"/>
      <c r="B125" s="75"/>
      <c r="C125" s="75"/>
      <c r="D125" s="75"/>
      <c r="E125" s="75"/>
      <c r="F125" s="75"/>
      <c r="G125" s="14"/>
    </row>
    <row r="126" ht="14"/>
  </sheetData>
  <mergeCells count="13">
    <mergeCell ref="A13:G13"/>
    <mergeCell ref="C108:F108"/>
    <mergeCell ref="A8:G8"/>
    <mergeCell ref="A9:G9"/>
    <mergeCell ref="A10:G10"/>
    <mergeCell ref="A11:G11"/>
    <mergeCell ref="B12:G12"/>
    <mergeCell ref="A14:G14"/>
    <mergeCell ref="B21:F21"/>
    <mergeCell ref="B42:F42"/>
    <mergeCell ref="B93:F93"/>
    <mergeCell ref="B94:F94"/>
    <mergeCell ref="B107:F107"/>
  </mergeCells>
  <printOptions horizontalCentered="1" verticalCentered="1"/>
  <pageMargins left="0.27" right="0.27" top="0.75" bottom="0.75" header="0.3" footer="0.3"/>
  <pageSetup horizontalDpi="600" verticalDpi="600" orientation="landscape" scale="95"/>
  <headerFooter>
    <oddFooter>&amp;C&amp;"Arial Rounded MT Bold,Regular"&amp;12&amp;P</oddFooter>
  </headerFooter>
  <rowBreaks count="6" manualBreakCount="6">
    <brk id="18" max="16383" man="1"/>
    <brk id="41" max="16383" man="1"/>
    <brk id="57" max="16383" man="1"/>
    <brk id="72" max="16383" man="1"/>
    <brk id="90" max="16383" man="1"/>
    <brk id="10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0"/>
  <sheetViews>
    <sheetView workbookViewId="0" topLeftCell="A58">
      <selection activeCell="D67" sqref="D67"/>
    </sheetView>
  </sheetViews>
  <sheetFormatPr defaultColWidth="8.8515625" defaultRowHeight="15"/>
  <cols>
    <col min="1" max="1" width="2.421875" style="1" customWidth="1"/>
    <col min="2" max="2" width="48.421875" style="1" customWidth="1"/>
    <col min="3" max="3" width="17.421875" style="1" customWidth="1"/>
    <col min="4" max="4" width="18.8515625" style="1" customWidth="1"/>
    <col min="5" max="5" width="15.421875" style="1" customWidth="1"/>
    <col min="6" max="6" width="20.421875" style="1" customWidth="1"/>
    <col min="7" max="7" width="3.00390625" style="1" customWidth="1"/>
    <col min="8" max="9" width="9.421875" style="1" bestFit="1" customWidth="1"/>
    <col min="10" max="10" width="83.140625" style="1" customWidth="1"/>
    <col min="11" max="11" width="13.140625" style="1" bestFit="1" customWidth="1"/>
    <col min="12" max="12" width="11.421875" style="1" customWidth="1"/>
    <col min="13" max="16384" width="8.8515625" style="1" customWidth="1"/>
  </cols>
  <sheetData>
    <row r="1" spans="1:7" s="7" customFormat="1" ht="17" thickBot="1">
      <c r="A1" s="13"/>
      <c r="B1" s="13"/>
      <c r="C1" s="13"/>
      <c r="D1" s="13"/>
      <c r="E1" s="13"/>
      <c r="F1" s="13"/>
      <c r="G1" s="13"/>
    </row>
    <row r="2" spans="1:7" ht="18.75">
      <c r="A2" s="6"/>
      <c r="B2" s="7"/>
      <c r="C2" s="7"/>
      <c r="D2" s="7"/>
      <c r="E2" s="7"/>
      <c r="F2" s="7"/>
      <c r="G2" s="8"/>
    </row>
    <row r="3" spans="1:7" ht="18.75">
      <c r="A3" s="6"/>
      <c r="B3" s="7"/>
      <c r="C3" s="7"/>
      <c r="D3" s="7"/>
      <c r="E3" s="7"/>
      <c r="F3" s="7"/>
      <c r="G3" s="8"/>
    </row>
    <row r="4" spans="1:7" ht="18.75">
      <c r="A4" s="6"/>
      <c r="B4" s="7"/>
      <c r="C4" s="7"/>
      <c r="D4" s="7"/>
      <c r="E4" s="7"/>
      <c r="F4" s="7"/>
      <c r="G4" s="8"/>
    </row>
    <row r="5" spans="1:7" ht="18.75">
      <c r="A5" s="6"/>
      <c r="B5" s="7"/>
      <c r="C5" s="7"/>
      <c r="D5" s="7"/>
      <c r="E5" s="7"/>
      <c r="F5" s="7"/>
      <c r="G5" s="8"/>
    </row>
    <row r="6" spans="1:7" ht="18.75">
      <c r="A6" s="6"/>
      <c r="B6" s="7"/>
      <c r="C6" s="7"/>
      <c r="D6" s="7"/>
      <c r="E6" s="7"/>
      <c r="F6" s="7"/>
      <c r="G6" s="8"/>
    </row>
    <row r="7" spans="1:7" ht="15">
      <c r="A7" s="9"/>
      <c r="B7" s="10"/>
      <c r="C7" s="10"/>
      <c r="D7" s="10"/>
      <c r="E7" s="10"/>
      <c r="F7" s="10"/>
      <c r="G7" s="11"/>
    </row>
    <row r="8" spans="1:7" ht="27">
      <c r="A8" s="236" t="s">
        <v>0</v>
      </c>
      <c r="B8" s="237"/>
      <c r="C8" s="237"/>
      <c r="D8" s="237"/>
      <c r="E8" s="237"/>
      <c r="F8" s="237"/>
      <c r="G8" s="238"/>
    </row>
    <row r="9" spans="1:7" ht="24">
      <c r="A9" s="239" t="s">
        <v>100</v>
      </c>
      <c r="B9" s="240"/>
      <c r="C9" s="240"/>
      <c r="D9" s="240"/>
      <c r="E9" s="240"/>
      <c r="F9" s="240"/>
      <c r="G9" s="241"/>
    </row>
    <row r="10" spans="1:7" ht="24">
      <c r="A10" s="239" t="s">
        <v>1</v>
      </c>
      <c r="B10" s="240"/>
      <c r="C10" s="240"/>
      <c r="D10" s="240"/>
      <c r="E10" s="240"/>
      <c r="F10" s="240"/>
      <c r="G10" s="241"/>
    </row>
    <row r="11" spans="1:7" ht="27">
      <c r="A11" s="236" t="s">
        <v>3</v>
      </c>
      <c r="B11" s="237"/>
      <c r="C11" s="237"/>
      <c r="D11" s="237"/>
      <c r="E11" s="237"/>
      <c r="F11" s="237"/>
      <c r="G11" s="238"/>
    </row>
    <row r="12" spans="1:9" ht="24">
      <c r="A12" s="129"/>
      <c r="B12" s="242">
        <v>42066</v>
      </c>
      <c r="C12" s="242"/>
      <c r="D12" s="242"/>
      <c r="E12" s="242"/>
      <c r="F12" s="242"/>
      <c r="G12" s="243"/>
      <c r="I12" s="1" t="s">
        <v>61</v>
      </c>
    </row>
    <row r="13" spans="1:7" ht="24">
      <c r="A13" s="239" t="s">
        <v>2</v>
      </c>
      <c r="B13" s="240"/>
      <c r="C13" s="240"/>
      <c r="D13" s="240"/>
      <c r="E13" s="240"/>
      <c r="F13" s="240"/>
      <c r="G13" s="241"/>
    </row>
    <row r="14" spans="1:7" ht="24">
      <c r="A14" s="239"/>
      <c r="B14" s="240"/>
      <c r="C14" s="240"/>
      <c r="D14" s="240"/>
      <c r="E14" s="240"/>
      <c r="F14" s="240"/>
      <c r="G14" s="241"/>
    </row>
    <row r="15" spans="1:7" ht="17">
      <c r="A15" s="39"/>
      <c r="B15" s="40"/>
      <c r="C15" s="40"/>
      <c r="D15" s="40"/>
      <c r="E15" s="40"/>
      <c r="F15" s="40"/>
      <c r="G15" s="41"/>
    </row>
    <row r="16" spans="1:7" ht="15">
      <c r="A16" s="6"/>
      <c r="B16" s="7"/>
      <c r="C16" s="7"/>
      <c r="D16" s="7"/>
      <c r="E16" s="7"/>
      <c r="F16" s="7"/>
      <c r="G16" s="8"/>
    </row>
    <row r="17" spans="1:7" ht="17" thickBot="1">
      <c r="A17" s="12"/>
      <c r="B17" s="13"/>
      <c r="C17" s="13"/>
      <c r="D17" s="13"/>
      <c r="E17" s="13"/>
      <c r="F17" s="13"/>
      <c r="G17" s="14"/>
    </row>
    <row r="18" spans="1:7" ht="15">
      <c r="A18" s="7"/>
      <c r="B18" s="7"/>
      <c r="C18" s="7"/>
      <c r="D18" s="7"/>
      <c r="E18" s="7"/>
      <c r="F18" s="7"/>
      <c r="G18" s="7"/>
    </row>
    <row r="19" spans="1:7" ht="5.25" customHeight="1">
      <c r="A19" s="7"/>
      <c r="B19" s="7"/>
      <c r="C19" s="7"/>
      <c r="D19" s="7"/>
      <c r="E19" s="7"/>
      <c r="F19" s="7"/>
      <c r="G19" s="7"/>
    </row>
    <row r="20" ht="16.5" customHeight="1" thickBot="1"/>
    <row r="21" spans="1:7" ht="20">
      <c r="A21" s="3"/>
      <c r="B21" s="244" t="s">
        <v>53</v>
      </c>
      <c r="C21" s="244"/>
      <c r="D21" s="244"/>
      <c r="E21" s="244"/>
      <c r="F21" s="244"/>
      <c r="G21" s="5"/>
    </row>
    <row r="22" spans="1:7" s="2" customFormat="1" ht="30">
      <c r="A22" s="9"/>
      <c r="B22" s="16"/>
      <c r="C22" s="16" t="s">
        <v>5</v>
      </c>
      <c r="D22" s="16" t="s">
        <v>7</v>
      </c>
      <c r="E22" s="159" t="s">
        <v>12</v>
      </c>
      <c r="F22" s="160" t="s">
        <v>10</v>
      </c>
      <c r="G22" s="15"/>
    </row>
    <row r="23" spans="1:7" s="2" customFormat="1" ht="15" thickBot="1">
      <c r="A23" s="9"/>
      <c r="B23" s="18" t="s">
        <v>4</v>
      </c>
      <c r="C23" s="18" t="s">
        <v>6</v>
      </c>
      <c r="D23" s="18" t="s">
        <v>8</v>
      </c>
      <c r="E23" s="18" t="s">
        <v>9</v>
      </c>
      <c r="F23" s="161" t="s">
        <v>11</v>
      </c>
      <c r="G23" s="15"/>
    </row>
    <row r="24" spans="1:7" s="2" customFormat="1" ht="17">
      <c r="A24" s="9"/>
      <c r="B24" s="28"/>
      <c r="C24" s="20"/>
      <c r="D24" s="20"/>
      <c r="E24" s="20"/>
      <c r="F24" s="21"/>
      <c r="G24" s="11"/>
    </row>
    <row r="25" spans="1:7" s="2" customFormat="1" ht="17">
      <c r="A25" s="9"/>
      <c r="B25" s="36" t="s">
        <v>54</v>
      </c>
      <c r="C25" s="22"/>
      <c r="D25" s="22"/>
      <c r="E25" s="22"/>
      <c r="F25" s="23"/>
      <c r="G25" s="11"/>
    </row>
    <row r="26" spans="1:7" s="2" customFormat="1" ht="25.5" customHeight="1">
      <c r="A26" s="9"/>
      <c r="B26" s="37" t="s">
        <v>17</v>
      </c>
      <c r="C26" s="24">
        <f>2700*0.75</f>
        <v>2025</v>
      </c>
      <c r="D26" s="24">
        <f>2197+386</f>
        <v>2583</v>
      </c>
      <c r="E26" s="24">
        <f>+D26-C26</f>
        <v>558</v>
      </c>
      <c r="F26" s="25">
        <f>+E26/C26</f>
        <v>0.27555555555555555</v>
      </c>
      <c r="G26" s="11"/>
    </row>
    <row r="27" spans="1:8" s="2" customFormat="1" ht="25.5" customHeight="1">
      <c r="A27" s="9"/>
      <c r="B27" s="32" t="s">
        <v>16</v>
      </c>
      <c r="C27" s="26">
        <f>3000-C26</f>
        <v>975</v>
      </c>
      <c r="D27" s="26">
        <f>58+328+2+618</f>
        <v>1006</v>
      </c>
      <c r="E27" s="26">
        <f>+D27-C27</f>
        <v>31</v>
      </c>
      <c r="F27" s="27">
        <f>+E27/C27</f>
        <v>0.031794871794871796</v>
      </c>
      <c r="G27" s="11"/>
      <c r="H27" s="130"/>
    </row>
    <row r="28" spans="1:7" s="2" customFormat="1" ht="25.5" customHeight="1">
      <c r="A28" s="9"/>
      <c r="B28" s="37" t="s">
        <v>82</v>
      </c>
      <c r="C28" s="24">
        <v>128</v>
      </c>
      <c r="D28" s="24">
        <f>+'2015 Actual vs Budget'!F11</f>
        <v>157</v>
      </c>
      <c r="E28" s="24">
        <f>+D28-C28</f>
        <v>29</v>
      </c>
      <c r="F28" s="25">
        <f>+E28/C28</f>
        <v>0.2265625</v>
      </c>
      <c r="G28" s="11"/>
    </row>
    <row r="29" spans="1:7" s="2" customFormat="1" ht="30" customHeight="1" thickBot="1">
      <c r="A29" s="9"/>
      <c r="B29" s="38" t="s">
        <v>58</v>
      </c>
      <c r="C29" s="111">
        <f aca="true" t="shared" si="0" ref="C29">SUM(C26:C28)</f>
        <v>3128</v>
      </c>
      <c r="D29" s="111">
        <f>SUM(D26:D28)</f>
        <v>3746</v>
      </c>
      <c r="E29" s="111">
        <f aca="true" t="shared" si="1" ref="E29">SUM(E26:E28)</f>
        <v>618</v>
      </c>
      <c r="F29" s="112">
        <f>+D29/C29</f>
        <v>1.1975703324808185</v>
      </c>
      <c r="G29" s="11"/>
    </row>
    <row r="30" spans="1:7" s="2" customFormat="1" ht="18" thickTop="1">
      <c r="A30" s="9"/>
      <c r="B30" s="28"/>
      <c r="C30" s="28"/>
      <c r="D30" s="28"/>
      <c r="E30" s="28"/>
      <c r="F30" s="29"/>
      <c r="G30" s="11"/>
    </row>
    <row r="31" spans="1:7" s="2" customFormat="1" ht="17">
      <c r="A31" s="9"/>
      <c r="B31" s="36" t="s">
        <v>13</v>
      </c>
      <c r="C31" s="28"/>
      <c r="D31" s="28"/>
      <c r="E31" s="28"/>
      <c r="F31" s="29"/>
      <c r="G31" s="11"/>
    </row>
    <row r="32" spans="1:7" s="2" customFormat="1" ht="25.5" customHeight="1">
      <c r="A32" s="9"/>
      <c r="B32" s="37" t="s">
        <v>17</v>
      </c>
      <c r="C32" s="30">
        <f>+C26*415</f>
        <v>840375</v>
      </c>
      <c r="D32" s="30">
        <f>1090920+368914</f>
        <v>1459834</v>
      </c>
      <c r="E32" s="30">
        <f>+D32-C32</f>
        <v>619459</v>
      </c>
      <c r="F32" s="25">
        <f>+D32/C32</f>
        <v>1.7371221181020378</v>
      </c>
      <c r="G32" s="11"/>
    </row>
    <row r="33" spans="1:7" s="2" customFormat="1" ht="25.5" customHeight="1">
      <c r="A33" s="9"/>
      <c r="B33" s="32" t="s">
        <v>16</v>
      </c>
      <c r="C33" s="26">
        <f>+C27*415</f>
        <v>404625</v>
      </c>
      <c r="D33" s="26">
        <f>7425+81685</f>
        <v>89110</v>
      </c>
      <c r="E33" s="26">
        <f>+D33-C33</f>
        <v>-315515</v>
      </c>
      <c r="F33" s="27">
        <f>+D33/C33</f>
        <v>0.22022860673463082</v>
      </c>
      <c r="G33" s="11"/>
    </row>
    <row r="34" spans="1:9" s="2" customFormat="1" ht="25.5" customHeight="1">
      <c r="A34" s="9"/>
      <c r="B34" s="37" t="s">
        <v>82</v>
      </c>
      <c r="C34" s="24">
        <v>16000</v>
      </c>
      <c r="D34" s="24">
        <v>25800</v>
      </c>
      <c r="E34" s="24">
        <f>+D34-C34</f>
        <v>9800</v>
      </c>
      <c r="F34" s="25">
        <v>1</v>
      </c>
      <c r="G34" s="11"/>
      <c r="I34" s="183"/>
    </row>
    <row r="35" spans="1:7" s="2" customFormat="1" ht="30" customHeight="1" thickBot="1">
      <c r="A35" s="9"/>
      <c r="B35" s="38" t="s">
        <v>59</v>
      </c>
      <c r="C35" s="113">
        <f>SUM(C32:C34)</f>
        <v>1261000</v>
      </c>
      <c r="D35" s="113">
        <f aca="true" t="shared" si="2" ref="D35:E35">SUM(D32:D34)</f>
        <v>1574744</v>
      </c>
      <c r="E35" s="113">
        <f t="shared" si="2"/>
        <v>313744</v>
      </c>
      <c r="F35" s="112">
        <f>+D35/C35</f>
        <v>1.2488057097541634</v>
      </c>
      <c r="G35" s="11"/>
    </row>
    <row r="36" spans="1:7" s="2" customFormat="1" ht="25.5" customHeight="1" thickTop="1">
      <c r="A36" s="9"/>
      <c r="B36" s="32"/>
      <c r="C36" s="50"/>
      <c r="D36" s="50"/>
      <c r="E36" s="50"/>
      <c r="F36" s="57"/>
      <c r="G36" s="11"/>
    </row>
    <row r="37" spans="1:7" s="2" customFormat="1" ht="25.5" customHeight="1">
      <c r="A37" s="9"/>
      <c r="B37" s="34" t="s">
        <v>14</v>
      </c>
      <c r="C37" s="34">
        <v>75</v>
      </c>
      <c r="D37" s="34">
        <f>116-D38</f>
        <v>97</v>
      </c>
      <c r="E37" s="34">
        <f>+D37-C37</f>
        <v>22</v>
      </c>
      <c r="F37" s="35">
        <f>+D37/C37</f>
        <v>1.2933333333333332</v>
      </c>
      <c r="G37" s="11"/>
    </row>
    <row r="38" spans="1:7" s="2" customFormat="1" ht="25.5" customHeight="1">
      <c r="A38" s="9"/>
      <c r="B38" s="32" t="s">
        <v>15</v>
      </c>
      <c r="C38" s="32">
        <v>11</v>
      </c>
      <c r="D38" s="32">
        <v>19</v>
      </c>
      <c r="E38" s="32">
        <f>+D38-C38</f>
        <v>8</v>
      </c>
      <c r="F38" s="27">
        <f>+D38/C38</f>
        <v>1.7272727272727273</v>
      </c>
      <c r="G38" s="11"/>
    </row>
    <row r="39" spans="1:7" ht="17" thickBot="1">
      <c r="A39" s="12"/>
      <c r="B39" s="13"/>
      <c r="C39" s="13"/>
      <c r="D39" s="13"/>
      <c r="E39" s="13"/>
      <c r="F39" s="13"/>
      <c r="G39" s="14"/>
    </row>
    <row r="40" ht="13.5" customHeight="1"/>
    <row r="41" ht="15.75" customHeight="1" thickBot="1"/>
    <row r="42" spans="1:7" ht="30.75" customHeight="1">
      <c r="A42" s="3"/>
      <c r="B42" s="244" t="s">
        <v>52</v>
      </c>
      <c r="C42" s="244"/>
      <c r="D42" s="244"/>
      <c r="E42" s="244"/>
      <c r="F42" s="244"/>
      <c r="G42" s="5"/>
    </row>
    <row r="43" spans="1:7" s="2" customFormat="1" ht="30">
      <c r="A43" s="9"/>
      <c r="B43" s="16"/>
      <c r="C43" s="16" t="s">
        <v>5</v>
      </c>
      <c r="D43" s="16" t="s">
        <v>7</v>
      </c>
      <c r="E43" s="159" t="s">
        <v>12</v>
      </c>
      <c r="F43" s="160" t="s">
        <v>10</v>
      </c>
      <c r="G43" s="15"/>
    </row>
    <row r="44" spans="1:7" s="2" customFormat="1" ht="15" thickBot="1">
      <c r="A44" s="9"/>
      <c r="B44" s="18" t="s">
        <v>4</v>
      </c>
      <c r="C44" s="18" t="s">
        <v>6</v>
      </c>
      <c r="D44" s="18" t="s">
        <v>8</v>
      </c>
      <c r="E44" s="18" t="s">
        <v>9</v>
      </c>
      <c r="F44" s="161" t="s">
        <v>11</v>
      </c>
      <c r="G44" s="15"/>
    </row>
    <row r="45" spans="1:7" s="2" customFormat="1" ht="22.5" customHeight="1">
      <c r="A45" s="9"/>
      <c r="B45" s="43"/>
      <c r="C45" s="24"/>
      <c r="D45" s="24"/>
      <c r="E45" s="24"/>
      <c r="F45" s="175"/>
      <c r="G45" s="11"/>
    </row>
    <row r="46" spans="1:7" s="2" customFormat="1" ht="22.5" customHeight="1">
      <c r="A46" s="9"/>
      <c r="B46" s="44" t="s">
        <v>101</v>
      </c>
      <c r="C46" s="26">
        <f>+C29</f>
        <v>3128</v>
      </c>
      <c r="D46" s="26">
        <f>+D29</f>
        <v>3746</v>
      </c>
      <c r="E46" s="26">
        <f>+D46-C46</f>
        <v>618</v>
      </c>
      <c r="F46" s="151">
        <f>+D46/C46</f>
        <v>1.1975703324808185</v>
      </c>
      <c r="G46" s="11"/>
    </row>
    <row r="47" spans="1:7" s="2" customFormat="1" ht="25.5" customHeight="1">
      <c r="A47" s="9"/>
      <c r="B47" s="43" t="s">
        <v>81</v>
      </c>
      <c r="C47" s="24">
        <v>2828</v>
      </c>
      <c r="D47" s="24">
        <v>3791</v>
      </c>
      <c r="E47" s="24">
        <f>+D47-C47</f>
        <v>963</v>
      </c>
      <c r="F47" s="175">
        <f>+D47/C47</f>
        <v>1.3405233380480905</v>
      </c>
      <c r="G47" s="11"/>
    </row>
    <row r="48" spans="1:7" s="2" customFormat="1" ht="25.5" customHeight="1">
      <c r="A48" s="9"/>
      <c r="B48" s="44" t="s">
        <v>18</v>
      </c>
      <c r="C48" s="26">
        <v>2650</v>
      </c>
      <c r="D48" s="26">
        <v>2173</v>
      </c>
      <c r="E48" s="26">
        <f>+D48-C48</f>
        <v>-477</v>
      </c>
      <c r="F48" s="151">
        <f>+D48/C48</f>
        <v>0.82</v>
      </c>
      <c r="G48" s="11"/>
    </row>
    <row r="49" spans="1:7" s="2" customFormat="1" ht="30" customHeight="1">
      <c r="A49" s="9"/>
      <c r="B49" s="43" t="s">
        <v>19</v>
      </c>
      <c r="C49" s="24">
        <v>2300</v>
      </c>
      <c r="D49" s="24">
        <v>2158</v>
      </c>
      <c r="E49" s="24">
        <f>+D49-C49</f>
        <v>-142</v>
      </c>
      <c r="F49" s="175">
        <f aca="true" t="shared" si="3" ref="F49:F56">+D49/C49</f>
        <v>0.9382608695652174</v>
      </c>
      <c r="G49" s="11"/>
    </row>
    <row r="50" spans="1:7" s="2" customFormat="1" ht="25.5" customHeight="1">
      <c r="A50" s="9"/>
      <c r="B50" s="44" t="s">
        <v>20</v>
      </c>
      <c r="C50" s="26">
        <v>1700</v>
      </c>
      <c r="D50" s="26">
        <v>3481</v>
      </c>
      <c r="E50" s="26">
        <f aca="true" t="shared" si="4" ref="E50:E56">+D50-C50</f>
        <v>1781</v>
      </c>
      <c r="F50" s="151">
        <f t="shared" si="3"/>
        <v>2.0476470588235296</v>
      </c>
      <c r="G50" s="11"/>
    </row>
    <row r="51" spans="1:7" s="2" customFormat="1" ht="30" customHeight="1">
      <c r="A51" s="9"/>
      <c r="B51" s="43" t="s">
        <v>21</v>
      </c>
      <c r="C51" s="24">
        <v>2700</v>
      </c>
      <c r="D51" s="24">
        <v>1943</v>
      </c>
      <c r="E51" s="24">
        <f t="shared" si="4"/>
        <v>-757</v>
      </c>
      <c r="F51" s="175">
        <f t="shared" si="3"/>
        <v>0.7196296296296296</v>
      </c>
      <c r="G51" s="11"/>
    </row>
    <row r="52" spans="1:7" s="2" customFormat="1" ht="30" customHeight="1">
      <c r="A52" s="9"/>
      <c r="B52" s="44" t="s">
        <v>22</v>
      </c>
      <c r="C52" s="26">
        <v>3300</v>
      </c>
      <c r="D52" s="26">
        <v>2572</v>
      </c>
      <c r="E52" s="26">
        <f t="shared" si="4"/>
        <v>-728</v>
      </c>
      <c r="F52" s="151">
        <f t="shared" si="3"/>
        <v>0.7793939393939394</v>
      </c>
      <c r="G52" s="11"/>
    </row>
    <row r="53" spans="1:7" s="2" customFormat="1" ht="30" customHeight="1">
      <c r="A53" s="9"/>
      <c r="B53" s="43" t="s">
        <v>23</v>
      </c>
      <c r="C53" s="24">
        <v>4200</v>
      </c>
      <c r="D53" s="24">
        <v>3974</v>
      </c>
      <c r="E53" s="24">
        <f t="shared" si="4"/>
        <v>-226</v>
      </c>
      <c r="F53" s="175">
        <f t="shared" si="3"/>
        <v>0.9461904761904761</v>
      </c>
      <c r="G53" s="11"/>
    </row>
    <row r="54" spans="1:7" s="2" customFormat="1" ht="30" customHeight="1">
      <c r="A54" s="9"/>
      <c r="B54" s="44" t="s">
        <v>24</v>
      </c>
      <c r="C54" s="26">
        <v>4000</v>
      </c>
      <c r="D54" s="26">
        <v>4537</v>
      </c>
      <c r="E54" s="26">
        <f t="shared" si="4"/>
        <v>537</v>
      </c>
      <c r="F54" s="151">
        <f t="shared" si="3"/>
        <v>1.13425</v>
      </c>
      <c r="G54" s="11"/>
    </row>
    <row r="55" spans="1:7" s="2" customFormat="1" ht="30" customHeight="1">
      <c r="A55" s="9"/>
      <c r="B55" s="43" t="s">
        <v>25</v>
      </c>
      <c r="C55" s="24">
        <v>4145</v>
      </c>
      <c r="D55" s="24">
        <v>4179</v>
      </c>
      <c r="E55" s="24">
        <f t="shared" si="4"/>
        <v>34</v>
      </c>
      <c r="F55" s="175">
        <f t="shared" si="3"/>
        <v>1.0082026537997588</v>
      </c>
      <c r="G55" s="11"/>
    </row>
    <row r="56" spans="1:7" s="2" customFormat="1" ht="30" customHeight="1">
      <c r="A56" s="9"/>
      <c r="B56" s="44" t="s">
        <v>26</v>
      </c>
      <c r="C56" s="26">
        <v>3600</v>
      </c>
      <c r="D56" s="26">
        <v>4997</v>
      </c>
      <c r="E56" s="26">
        <f t="shared" si="4"/>
        <v>1397</v>
      </c>
      <c r="F56" s="151">
        <f t="shared" si="3"/>
        <v>1.3880555555555556</v>
      </c>
      <c r="G56" s="11"/>
    </row>
    <row r="57" spans="1:7" ht="17" thickBot="1">
      <c r="A57" s="12"/>
      <c r="B57" s="13"/>
      <c r="C57" s="13"/>
      <c r="D57" s="13"/>
      <c r="E57" s="13"/>
      <c r="F57" s="13"/>
      <c r="G57" s="14"/>
    </row>
    <row r="58" s="7" customFormat="1" ht="19.5" customHeight="1"/>
    <row r="59" s="7" customFormat="1" ht="19.5" customHeight="1" thickBot="1"/>
    <row r="60" spans="1:7" ht="15">
      <c r="A60" s="3"/>
      <c r="B60" s="4"/>
      <c r="C60" s="4"/>
      <c r="D60" s="4"/>
      <c r="E60" s="4"/>
      <c r="F60" s="4"/>
      <c r="G60" s="5"/>
    </row>
    <row r="61" spans="1:12" s="2" customFormat="1" ht="30">
      <c r="A61" s="9"/>
      <c r="B61" s="16"/>
      <c r="C61" s="16" t="s">
        <v>5</v>
      </c>
      <c r="D61" s="16" t="s">
        <v>7</v>
      </c>
      <c r="E61" s="159" t="s">
        <v>12</v>
      </c>
      <c r="F61" s="160" t="s">
        <v>10</v>
      </c>
      <c r="G61" s="15"/>
      <c r="H61"/>
      <c r="I61"/>
      <c r="J61"/>
      <c r="K61"/>
      <c r="L61"/>
    </row>
    <row r="62" spans="1:12" s="2" customFormat="1" ht="15" thickBot="1">
      <c r="A62" s="9"/>
      <c r="B62" s="18" t="s">
        <v>4</v>
      </c>
      <c r="C62" s="18" t="s">
        <v>6</v>
      </c>
      <c r="D62" s="18" t="s">
        <v>8</v>
      </c>
      <c r="E62" s="18" t="s">
        <v>9</v>
      </c>
      <c r="F62" s="161" t="s">
        <v>11</v>
      </c>
      <c r="G62" s="15"/>
      <c r="H62"/>
      <c r="I62"/>
      <c r="J62"/>
      <c r="K62"/>
      <c r="L62"/>
    </row>
    <row r="63" spans="1:12" s="2" customFormat="1" ht="17">
      <c r="A63" s="9"/>
      <c r="B63" s="47"/>
      <c r="C63" s="20"/>
      <c r="D63" s="20"/>
      <c r="E63" s="20"/>
      <c r="F63" s="21"/>
      <c r="G63" s="11"/>
      <c r="H63"/>
      <c r="I63"/>
      <c r="J63"/>
      <c r="K63"/>
      <c r="L63"/>
    </row>
    <row r="64" spans="1:12" s="2" customFormat="1" ht="21" customHeight="1">
      <c r="A64" s="9"/>
      <c r="B64" s="50" t="s">
        <v>78</v>
      </c>
      <c r="C64" s="48"/>
      <c r="D64" s="48"/>
      <c r="E64" s="48"/>
      <c r="F64" s="49"/>
      <c r="G64" s="11"/>
      <c r="H64"/>
      <c r="I64"/>
      <c r="J64"/>
      <c r="K64"/>
      <c r="L64"/>
    </row>
    <row r="65" spans="1:12" s="2" customFormat="1" ht="30" customHeight="1">
      <c r="A65" s="9"/>
      <c r="B65" s="120" t="s">
        <v>74</v>
      </c>
      <c r="C65" s="79">
        <v>65000</v>
      </c>
      <c r="D65" s="24">
        <v>85000</v>
      </c>
      <c r="E65" s="24">
        <f aca="true" t="shared" si="5" ref="E65:E67">+D65-C65</f>
        <v>20000</v>
      </c>
      <c r="F65" s="25">
        <f aca="true" t="shared" si="6" ref="F65:F68">+D65/C65</f>
        <v>1.3076923076923077</v>
      </c>
      <c r="G65" s="11"/>
      <c r="H65"/>
      <c r="I65"/>
      <c r="J65"/>
      <c r="K65"/>
      <c r="L65"/>
    </row>
    <row r="66" spans="1:12" s="2" customFormat="1" ht="30" customHeight="1">
      <c r="A66" s="9"/>
      <c r="B66" s="50" t="s">
        <v>75</v>
      </c>
      <c r="C66" s="64">
        <v>2000</v>
      </c>
      <c r="D66" s="64">
        <v>5675</v>
      </c>
      <c r="E66" s="147">
        <f t="shared" si="5"/>
        <v>3675</v>
      </c>
      <c r="F66" s="69">
        <f t="shared" si="6"/>
        <v>2.8375</v>
      </c>
      <c r="G66" s="11"/>
      <c r="H66"/>
      <c r="I66"/>
      <c r="J66"/>
      <c r="K66"/>
      <c r="L66"/>
    </row>
    <row r="67" spans="1:12" s="2" customFormat="1" ht="30" customHeight="1">
      <c r="A67" s="9"/>
      <c r="B67" s="120" t="s">
        <v>76</v>
      </c>
      <c r="C67" s="79">
        <v>56200</v>
      </c>
      <c r="D67" s="24">
        <v>80600</v>
      </c>
      <c r="E67" s="24">
        <f t="shared" si="5"/>
        <v>24400</v>
      </c>
      <c r="F67" s="25">
        <f t="shared" si="6"/>
        <v>1.4341637010676156</v>
      </c>
      <c r="G67" s="11"/>
      <c r="H67"/>
      <c r="I67"/>
      <c r="J67"/>
      <c r="K67"/>
      <c r="L67"/>
    </row>
    <row r="68" spans="1:12" s="2" customFormat="1" ht="30" customHeight="1">
      <c r="A68" s="9"/>
      <c r="B68" s="50" t="s">
        <v>77</v>
      </c>
      <c r="C68" s="74">
        <f>SUM(C64:C67)</f>
        <v>123200</v>
      </c>
      <c r="D68" s="74">
        <f aca="true" t="shared" si="7" ref="D68:E68">SUM(D64:D67)</f>
        <v>171275</v>
      </c>
      <c r="E68" s="74">
        <f t="shared" si="7"/>
        <v>48075</v>
      </c>
      <c r="F68" s="151">
        <f t="shared" si="6"/>
        <v>1.390219155844156</v>
      </c>
      <c r="G68" s="11"/>
      <c r="H68"/>
      <c r="I68"/>
      <c r="J68"/>
      <c r="K68"/>
      <c r="L68"/>
    </row>
    <row r="69" spans="1:12" s="2" customFormat="1" ht="24.75" customHeight="1">
      <c r="A69" s="9"/>
      <c r="B69" s="58" t="s">
        <v>27</v>
      </c>
      <c r="C69" s="65"/>
      <c r="D69" s="65"/>
      <c r="E69" s="65"/>
      <c r="F69" s="152"/>
      <c r="G69" s="11"/>
      <c r="H69"/>
      <c r="I69"/>
      <c r="J69"/>
      <c r="K69"/>
      <c r="L69"/>
    </row>
    <row r="70" spans="1:12" s="2" customFormat="1" ht="24.75" customHeight="1">
      <c r="A70" s="122"/>
      <c r="B70" s="148" t="s">
        <v>28</v>
      </c>
      <c r="C70" s="67">
        <f>+C28</f>
        <v>128</v>
      </c>
      <c r="D70" s="149">
        <f>+D28</f>
        <v>157</v>
      </c>
      <c r="E70" s="149">
        <f>+D70-C70</f>
        <v>29</v>
      </c>
      <c r="F70" s="150">
        <f>+D70/C70</f>
        <v>1.2265625</v>
      </c>
      <c r="G70" s="11"/>
      <c r="H70"/>
      <c r="I70"/>
      <c r="J70"/>
      <c r="K70"/>
      <c r="L70"/>
    </row>
    <row r="71" spans="1:12" s="2" customFormat="1" ht="30" customHeight="1">
      <c r="A71" s="9"/>
      <c r="B71" s="32"/>
      <c r="C71" s="121"/>
      <c r="D71" s="121"/>
      <c r="E71" s="121"/>
      <c r="F71" s="121"/>
      <c r="G71" s="11"/>
      <c r="H71"/>
      <c r="I71"/>
      <c r="J71"/>
      <c r="K71"/>
      <c r="L71"/>
    </row>
    <row r="72" spans="1:12" s="2" customFormat="1" ht="24.75" customHeight="1">
      <c r="A72" s="9"/>
      <c r="B72" s="125"/>
      <c r="C72" s="126"/>
      <c r="D72" s="126"/>
      <c r="E72" s="126"/>
      <c r="F72" s="126"/>
      <c r="G72" s="11"/>
      <c r="H72"/>
      <c r="I72"/>
      <c r="J72"/>
      <c r="K72"/>
      <c r="L72"/>
    </row>
    <row r="73" spans="1:7" ht="17" thickBot="1">
      <c r="A73" s="12"/>
      <c r="B73" s="13"/>
      <c r="C73" s="13"/>
      <c r="D73" s="13"/>
      <c r="E73" s="13"/>
      <c r="F73" s="13"/>
      <c r="G73" s="14"/>
    </row>
    <row r="74" ht="20.25" customHeight="1" thickBot="1"/>
    <row r="75" spans="1:7" ht="15">
      <c r="A75" s="3"/>
      <c r="B75" s="4"/>
      <c r="C75" s="4"/>
      <c r="D75" s="4"/>
      <c r="E75" s="4"/>
      <c r="F75" s="4"/>
      <c r="G75" s="5"/>
    </row>
    <row r="76" spans="1:7" ht="30">
      <c r="A76" s="9"/>
      <c r="B76" s="16"/>
      <c r="C76" s="16" t="s">
        <v>5</v>
      </c>
      <c r="D76" s="16" t="s">
        <v>7</v>
      </c>
      <c r="E76" s="159" t="s">
        <v>12</v>
      </c>
      <c r="F76" s="160" t="s">
        <v>10</v>
      </c>
      <c r="G76" s="15"/>
    </row>
    <row r="77" spans="1:7" ht="17" thickBot="1">
      <c r="A77" s="9"/>
      <c r="B77" s="18" t="s">
        <v>4</v>
      </c>
      <c r="C77" s="18" t="s">
        <v>6</v>
      </c>
      <c r="D77" s="18" t="s">
        <v>8</v>
      </c>
      <c r="E77" s="18" t="s">
        <v>9</v>
      </c>
      <c r="F77" s="161" t="s">
        <v>11</v>
      </c>
      <c r="G77" s="15"/>
    </row>
    <row r="78" spans="1:11" ht="17">
      <c r="A78" s="9"/>
      <c r="B78" s="51" t="s">
        <v>29</v>
      </c>
      <c r="C78" s="56"/>
      <c r="D78" s="56"/>
      <c r="E78" s="28"/>
      <c r="F78" s="68"/>
      <c r="G78" s="11"/>
      <c r="J78"/>
      <c r="K78"/>
    </row>
    <row r="79" spans="1:11" ht="17">
      <c r="A79" s="9"/>
      <c r="B79" s="50" t="s">
        <v>73</v>
      </c>
      <c r="C79" s="28">
        <v>500</v>
      </c>
      <c r="D79" s="28">
        <v>549</v>
      </c>
      <c r="E79" s="63">
        <f>+D79-C79</f>
        <v>49</v>
      </c>
      <c r="F79" s="146">
        <f>+D79/C79</f>
        <v>1.098</v>
      </c>
      <c r="G79" s="11"/>
      <c r="J79"/>
      <c r="K79"/>
    </row>
    <row r="80" spans="1:11" ht="17">
      <c r="A80" s="9"/>
      <c r="B80" s="54" t="s">
        <v>30</v>
      </c>
      <c r="C80" s="58"/>
      <c r="D80" s="58"/>
      <c r="E80" s="65"/>
      <c r="F80" s="70"/>
      <c r="G80" s="11"/>
      <c r="J80"/>
      <c r="K80"/>
    </row>
    <row r="81" spans="1:11" ht="17">
      <c r="A81" s="9"/>
      <c r="B81" s="61" t="s">
        <v>72</v>
      </c>
      <c r="C81" s="60">
        <v>500</v>
      </c>
      <c r="D81" s="60">
        <f>496+16</f>
        <v>512</v>
      </c>
      <c r="E81" s="66">
        <f>+D81-C81</f>
        <v>12</v>
      </c>
      <c r="F81" s="145">
        <f>+D81/C81</f>
        <v>1.024</v>
      </c>
      <c r="G81" s="11"/>
      <c r="J81"/>
      <c r="K81"/>
    </row>
    <row r="82" spans="1:11" ht="17">
      <c r="A82" s="9"/>
      <c r="B82" s="51"/>
      <c r="C82" s="56"/>
      <c r="D82" s="56"/>
      <c r="E82" s="62"/>
      <c r="F82" s="68"/>
      <c r="G82" s="11"/>
      <c r="J82"/>
      <c r="K82"/>
    </row>
    <row r="83" spans="1:11" ht="17">
      <c r="A83" s="9"/>
      <c r="B83" s="50" t="s">
        <v>38</v>
      </c>
      <c r="C83" s="28">
        <v>140</v>
      </c>
      <c r="D83" s="28">
        <f>242+46</f>
        <v>288</v>
      </c>
      <c r="E83" s="63">
        <f>+D83-C83</f>
        <v>148</v>
      </c>
      <c r="F83" s="146">
        <f>+D83/C83</f>
        <v>2.057142857142857</v>
      </c>
      <c r="G83" s="11"/>
      <c r="J83"/>
      <c r="K83"/>
    </row>
    <row r="84" spans="1:11" ht="17">
      <c r="A84" s="9"/>
      <c r="B84" s="54" t="s">
        <v>31</v>
      </c>
      <c r="C84" s="58"/>
      <c r="D84" s="58"/>
      <c r="E84" s="65"/>
      <c r="F84" s="70"/>
      <c r="G84" s="11"/>
      <c r="J84"/>
      <c r="K84"/>
    </row>
    <row r="85" spans="1:11" ht="17">
      <c r="A85" s="9"/>
      <c r="B85" s="55" t="s">
        <v>32</v>
      </c>
      <c r="C85" s="61">
        <v>202</v>
      </c>
      <c r="D85" s="61">
        <f>213</f>
        <v>213</v>
      </c>
      <c r="E85" s="67">
        <f>+D85-C85</f>
        <v>11</v>
      </c>
      <c r="F85" s="71">
        <f>+D85/C85</f>
        <v>1.0544554455445545</v>
      </c>
      <c r="G85" s="11"/>
      <c r="J85"/>
      <c r="K85"/>
    </row>
    <row r="86" spans="1:11" ht="17">
      <c r="A86" s="9"/>
      <c r="B86" s="51"/>
      <c r="C86" s="28"/>
      <c r="D86" s="28"/>
      <c r="E86" s="63"/>
      <c r="F86" s="63"/>
      <c r="G86" s="11"/>
      <c r="J86"/>
      <c r="K86"/>
    </row>
    <row r="87" spans="1:7" ht="17">
      <c r="A87" s="9"/>
      <c r="B87" s="52" t="s">
        <v>89</v>
      </c>
      <c r="C87" s="50">
        <v>0</v>
      </c>
      <c r="D87" s="50">
        <f>6+12+19</f>
        <v>37</v>
      </c>
      <c r="E87" s="64">
        <f>+D87-C87</f>
        <v>37</v>
      </c>
      <c r="F87" s="146">
        <v>1</v>
      </c>
      <c r="G87" s="11"/>
    </row>
    <row r="88" spans="1:7" ht="17">
      <c r="A88" s="9"/>
      <c r="B88" s="54"/>
      <c r="C88" s="60"/>
      <c r="D88" s="60"/>
      <c r="E88" s="66"/>
      <c r="F88" s="70"/>
      <c r="G88" s="11"/>
    </row>
    <row r="89" spans="1:7" ht="17" hidden="1">
      <c r="A89" s="9"/>
      <c r="B89" s="61" t="s">
        <v>90</v>
      </c>
      <c r="C89" s="61">
        <v>0</v>
      </c>
      <c r="D89" s="61"/>
      <c r="E89" s="67">
        <f>+D89-C89</f>
        <v>0</v>
      </c>
      <c r="F89" s="71">
        <v>1</v>
      </c>
      <c r="G89" s="11"/>
    </row>
    <row r="90" spans="1:7" ht="17" thickBot="1">
      <c r="A90" s="12"/>
      <c r="B90" s="13"/>
      <c r="C90" s="13"/>
      <c r="D90" s="13"/>
      <c r="E90" s="13"/>
      <c r="F90" s="13"/>
      <c r="G90" s="14"/>
    </row>
    <row r="91" spans="1:7" ht="15.75" customHeight="1">
      <c r="A91" s="7"/>
      <c r="B91" s="7"/>
      <c r="C91" s="7"/>
      <c r="D91" s="7"/>
      <c r="E91" s="7"/>
      <c r="F91" s="7"/>
      <c r="G91" s="7"/>
    </row>
    <row r="92" spans="1:7" ht="15.75" customHeight="1" thickBot="1">
      <c r="A92" s="7"/>
      <c r="B92" s="7"/>
      <c r="C92" s="7"/>
      <c r="D92" s="7"/>
      <c r="E92" s="7"/>
      <c r="F92" s="7"/>
      <c r="G92" s="7"/>
    </row>
    <row r="93" spans="1:7" ht="15">
      <c r="A93" s="3"/>
      <c r="B93" s="4"/>
      <c r="C93" s="4"/>
      <c r="D93" s="4"/>
      <c r="E93" s="4"/>
      <c r="F93" s="4"/>
      <c r="G93" s="5"/>
    </row>
    <row r="94" spans="1:9" ht="17">
      <c r="A94" s="9"/>
      <c r="B94" s="233"/>
      <c r="C94" s="234"/>
      <c r="D94" s="234"/>
      <c r="E94" s="234"/>
      <c r="F94" s="235"/>
      <c r="G94" s="15"/>
      <c r="I94" s="157"/>
    </row>
    <row r="95" spans="1:7" ht="17">
      <c r="A95" s="9"/>
      <c r="B95" s="233" t="s">
        <v>55</v>
      </c>
      <c r="C95" s="234"/>
      <c r="D95" s="234"/>
      <c r="E95" s="234"/>
      <c r="F95" s="235"/>
      <c r="G95" s="15"/>
    </row>
    <row r="96" spans="1:7" ht="17">
      <c r="A96" s="9"/>
      <c r="B96" s="132"/>
      <c r="C96" s="162" t="s">
        <v>95</v>
      </c>
      <c r="D96" s="76" t="s">
        <v>96</v>
      </c>
      <c r="E96" s="76" t="s">
        <v>97</v>
      </c>
      <c r="F96" s="29"/>
      <c r="G96" s="11"/>
    </row>
    <row r="97" spans="1:7" ht="17">
      <c r="A97" s="9"/>
      <c r="B97" s="82"/>
      <c r="C97" s="123" t="s">
        <v>8</v>
      </c>
      <c r="D97" s="123" t="s">
        <v>8</v>
      </c>
      <c r="E97" s="123" t="s">
        <v>98</v>
      </c>
      <c r="F97" s="134" t="s">
        <v>66</v>
      </c>
      <c r="G97" s="11"/>
    </row>
    <row r="98" spans="1:9" ht="25.5" customHeight="1">
      <c r="A98" s="9"/>
      <c r="B98" s="83" t="s">
        <v>91</v>
      </c>
      <c r="C98" s="141">
        <v>167</v>
      </c>
      <c r="D98" s="141">
        <v>219</v>
      </c>
      <c r="E98" s="141">
        <f>+D98+C98</f>
        <v>386</v>
      </c>
      <c r="F98" s="135">
        <f>+E98/E102</f>
        <v>0.12340153452685422</v>
      </c>
      <c r="G98" s="11"/>
      <c r="H98" s="182">
        <f>+C98/$C$102</f>
        <v>0.16453201970443349</v>
      </c>
      <c r="I98" s="182">
        <f>+D98/$D$102</f>
        <v>0.10364410790345481</v>
      </c>
    </row>
    <row r="99" spans="1:9" ht="25.5" customHeight="1">
      <c r="A99" s="9"/>
      <c r="B99" s="84" t="s">
        <v>92</v>
      </c>
      <c r="C99" s="142">
        <f>5+4+26+82+26</f>
        <v>143</v>
      </c>
      <c r="D99" s="142">
        <f>22+28+23+16+9+31+84+265+102+58</f>
        <v>638</v>
      </c>
      <c r="E99" s="142">
        <f>+D99+C99</f>
        <v>781</v>
      </c>
      <c r="F99" s="136">
        <f>+E99/E102</f>
        <v>0.24968030690537085</v>
      </c>
      <c r="G99" s="11"/>
      <c r="H99" s="182">
        <f aca="true" t="shared" si="8" ref="H99:H101">+C99/$C$102</f>
        <v>0.14088669950738916</v>
      </c>
      <c r="I99" s="182">
        <f aca="true" t="shared" si="9" ref="I99:I101">+D99/$D$102</f>
        <v>0.301940369143398</v>
      </c>
    </row>
    <row r="100" spans="1:9" ht="25.5" customHeight="1">
      <c r="A100" s="9"/>
      <c r="B100" s="83" t="s">
        <v>94</v>
      </c>
      <c r="C100" s="141">
        <f>3+4+12+4+18+5+124+316+97</f>
        <v>583</v>
      </c>
      <c r="D100" s="141">
        <f>1+13+10+27+25+18+33+19+119+731+225</f>
        <v>1221</v>
      </c>
      <c r="E100" s="141">
        <f>+D100+C100</f>
        <v>1804</v>
      </c>
      <c r="F100" s="135">
        <f>+E100/E102</f>
        <v>0.5767263427109974</v>
      </c>
      <c r="G100" s="11"/>
      <c r="H100" s="182">
        <f t="shared" si="8"/>
        <v>0.574384236453202</v>
      </c>
      <c r="I100" s="182">
        <f t="shared" si="9"/>
        <v>0.5778513961192617</v>
      </c>
    </row>
    <row r="101" spans="1:9" ht="25.5" customHeight="1" thickBot="1">
      <c r="A101" s="9"/>
      <c r="B101" s="84" t="s">
        <v>93</v>
      </c>
      <c r="C101" s="143">
        <v>122</v>
      </c>
      <c r="D101" s="143">
        <f>14+10+5+6</f>
        <v>35</v>
      </c>
      <c r="E101" s="143">
        <f>+D101+C101</f>
        <v>157</v>
      </c>
      <c r="F101" s="137">
        <f>+E101/E102</f>
        <v>0.0501918158567775</v>
      </c>
      <c r="G101" s="11"/>
      <c r="H101" s="182">
        <f t="shared" si="8"/>
        <v>0.12019704433497537</v>
      </c>
      <c r="I101" s="182">
        <f t="shared" si="9"/>
        <v>0.01656412683388547</v>
      </c>
    </row>
    <row r="102" spans="1:9" ht="25.5" customHeight="1" thickBot="1">
      <c r="A102" s="9"/>
      <c r="B102" s="176" t="s">
        <v>65</v>
      </c>
      <c r="C102" s="144">
        <f>SUM(C98:C101)</f>
        <v>1015</v>
      </c>
      <c r="D102" s="144">
        <f>SUM(D98:D101)</f>
        <v>2113</v>
      </c>
      <c r="E102" s="144">
        <f>SUM(E98:E101)</f>
        <v>3128</v>
      </c>
      <c r="F102" s="140">
        <f>+D102/$D$102</f>
        <v>1</v>
      </c>
      <c r="G102" s="11"/>
      <c r="I102" s="231"/>
    </row>
    <row r="103" spans="1:7" ht="25.5" customHeight="1" thickTop="1">
      <c r="A103" s="9"/>
      <c r="B103" s="83"/>
      <c r="C103" s="163">
        <f>+C102/E102</f>
        <v>0.32448849104859334</v>
      </c>
      <c r="D103" s="163">
        <f>+D102/E102</f>
        <v>0.6755115089514067</v>
      </c>
      <c r="E103" s="34"/>
      <c r="F103" s="35"/>
      <c r="G103" s="11"/>
    </row>
    <row r="104" spans="1:7" ht="25.5" customHeight="1">
      <c r="A104" s="9"/>
      <c r="B104" s="52"/>
      <c r="C104" s="33"/>
      <c r="D104" s="32"/>
      <c r="E104" s="32"/>
      <c r="F104" s="27"/>
      <c r="G104" s="11"/>
    </row>
    <row r="105" spans="1:7" ht="21" thickBot="1">
      <c r="A105" s="12"/>
      <c r="B105" s="75"/>
      <c r="C105" s="75"/>
      <c r="D105" s="75"/>
      <c r="E105" s="75"/>
      <c r="F105" s="75"/>
      <c r="G105" s="14"/>
    </row>
    <row r="106" ht="6" customHeight="1" thickBot="1"/>
    <row r="107" spans="1:7" ht="15">
      <c r="A107" s="3"/>
      <c r="B107" s="4"/>
      <c r="C107" s="4"/>
      <c r="D107" s="4"/>
      <c r="E107" s="4"/>
      <c r="F107" s="4"/>
      <c r="G107" s="5"/>
    </row>
    <row r="108" spans="1:7" ht="17">
      <c r="A108" s="9"/>
      <c r="B108" s="233"/>
      <c r="C108" s="234"/>
      <c r="D108" s="234"/>
      <c r="E108" s="234"/>
      <c r="F108" s="235"/>
      <c r="G108" s="15"/>
    </row>
    <row r="109" spans="1:7" ht="17">
      <c r="A109" s="9"/>
      <c r="B109" s="158"/>
      <c r="C109" s="245" t="s">
        <v>99</v>
      </c>
      <c r="D109" s="246"/>
      <c r="E109" s="246"/>
      <c r="F109" s="247"/>
      <c r="G109" s="15"/>
    </row>
    <row r="110" spans="1:7" ht="9.75" customHeight="1">
      <c r="A110" s="9"/>
      <c r="B110" s="171"/>
      <c r="C110" s="42"/>
      <c r="D110" s="91"/>
      <c r="E110" s="91"/>
      <c r="F110" s="78"/>
      <c r="G110" s="11"/>
    </row>
    <row r="111" spans="1:7" ht="9.75" customHeight="1">
      <c r="A111" s="9"/>
      <c r="B111" s="172"/>
      <c r="C111" s="92"/>
      <c r="D111" s="92"/>
      <c r="E111" s="92"/>
      <c r="F111" s="179"/>
      <c r="G111" s="11"/>
    </row>
    <row r="112" spans="1:8" ht="17">
      <c r="A112" s="9"/>
      <c r="B112" s="173"/>
      <c r="C112" s="167" t="s">
        <v>56</v>
      </c>
      <c r="D112" s="167"/>
      <c r="E112" s="164"/>
      <c r="F112" s="24">
        <f>+C102</f>
        <v>1015</v>
      </c>
      <c r="G112" s="11"/>
      <c r="H112" s="130"/>
    </row>
    <row r="113" spans="1:7" ht="17">
      <c r="A113" s="9"/>
      <c r="B113" s="173"/>
      <c r="C113" s="168" t="s">
        <v>57</v>
      </c>
      <c r="D113" s="168"/>
      <c r="E113" s="95"/>
      <c r="F113" s="26">
        <f>+D102</f>
        <v>2113</v>
      </c>
      <c r="G113" s="11"/>
    </row>
    <row r="114" spans="1:7" ht="17">
      <c r="A114" s="9"/>
      <c r="B114" s="174"/>
      <c r="C114" s="169" t="s">
        <v>39</v>
      </c>
      <c r="D114" s="169"/>
      <c r="E114" s="164"/>
      <c r="F114" s="180">
        <f>SUM(F112:F113)</f>
        <v>3128</v>
      </c>
      <c r="G114" s="11"/>
    </row>
    <row r="115" spans="1:7" ht="21" customHeight="1">
      <c r="A115" s="9"/>
      <c r="B115" s="173"/>
      <c r="C115" s="168"/>
      <c r="D115" s="168"/>
      <c r="E115" s="95"/>
      <c r="F115" s="26"/>
      <c r="G115" s="11"/>
    </row>
    <row r="116" spans="1:7" ht="17">
      <c r="A116" s="9"/>
      <c r="B116" s="173"/>
      <c r="C116" s="167" t="s">
        <v>69</v>
      </c>
      <c r="D116" s="167"/>
      <c r="E116" s="165"/>
      <c r="F116" s="30">
        <f>+L129</f>
        <v>1655437</v>
      </c>
      <c r="G116" s="11"/>
    </row>
    <row r="117" spans="1:11" ht="17">
      <c r="A117" s="9"/>
      <c r="B117" s="173"/>
      <c r="C117" s="168" t="s">
        <v>70</v>
      </c>
      <c r="D117" s="168"/>
      <c r="E117" s="166">
        <f>F117/F118</f>
        <v>0.1055893204759494</v>
      </c>
      <c r="F117" s="26">
        <f>+L130</f>
        <v>195432</v>
      </c>
      <c r="G117" s="11"/>
      <c r="J117" s="154"/>
      <c r="K117" s="155"/>
    </row>
    <row r="118" spans="1:11" ht="17">
      <c r="A118" s="9"/>
      <c r="B118" s="174"/>
      <c r="C118" s="170" t="s">
        <v>40</v>
      </c>
      <c r="D118" s="170"/>
      <c r="E118" s="98"/>
      <c r="F118" s="181">
        <f>SUM(F116:F117)</f>
        <v>1850869</v>
      </c>
      <c r="G118" s="11"/>
      <c r="J118" s="154"/>
      <c r="K118" s="155"/>
    </row>
    <row r="119" spans="1:11" ht="17" hidden="1">
      <c r="A119" s="9"/>
      <c r="B119" s="173"/>
      <c r="C119" s="167" t="s">
        <v>83</v>
      </c>
      <c r="D119" s="167"/>
      <c r="E119" s="97"/>
      <c r="F119" s="24"/>
      <c r="G119" s="11"/>
      <c r="J119" s="154"/>
      <c r="K119" s="155"/>
    </row>
    <row r="120" spans="1:11" ht="17" hidden="1">
      <c r="A120" s="9"/>
      <c r="B120" s="173"/>
      <c r="C120" s="168" t="s">
        <v>38</v>
      </c>
      <c r="D120" s="168"/>
      <c r="E120" s="96"/>
      <c r="F120" s="26"/>
      <c r="G120" s="11"/>
      <c r="J120" s="154"/>
      <c r="K120" s="155"/>
    </row>
    <row r="121" spans="1:11" ht="17" hidden="1">
      <c r="A121" s="9"/>
      <c r="B121" s="173"/>
      <c r="C121" s="167" t="s">
        <v>84</v>
      </c>
      <c r="D121" s="167"/>
      <c r="E121" s="97"/>
      <c r="F121" s="24"/>
      <c r="G121" s="11"/>
      <c r="J121" s="154"/>
      <c r="K121" s="155"/>
    </row>
    <row r="122" spans="1:11" ht="17" hidden="1">
      <c r="A122" s="9"/>
      <c r="B122" s="173"/>
      <c r="C122" s="168" t="s">
        <v>85</v>
      </c>
      <c r="D122" s="168"/>
      <c r="E122" s="96"/>
      <c r="F122" s="26"/>
      <c r="G122" s="11"/>
      <c r="J122" s="154"/>
      <c r="K122" s="155"/>
    </row>
    <row r="123" spans="1:11" ht="17" hidden="1">
      <c r="A123" s="9"/>
      <c r="B123" s="173"/>
      <c r="C123" s="167" t="s">
        <v>86</v>
      </c>
      <c r="D123" s="167"/>
      <c r="E123" s="97"/>
      <c r="F123" s="24"/>
      <c r="G123" s="11"/>
      <c r="J123" s="154"/>
      <c r="K123" s="155"/>
    </row>
    <row r="124" spans="1:11" ht="18" hidden="1" thickBot="1">
      <c r="A124" s="9"/>
      <c r="B124" s="173"/>
      <c r="C124" s="168" t="s">
        <v>88</v>
      </c>
      <c r="D124" s="168"/>
      <c r="E124" s="96"/>
      <c r="F124" s="26"/>
      <c r="G124" s="11"/>
      <c r="J124" s="154"/>
      <c r="K124" s="155"/>
    </row>
    <row r="125" spans="1:11" ht="18" hidden="1" thickBot="1">
      <c r="A125" s="9"/>
      <c r="B125" s="173"/>
      <c r="C125" s="177" t="s">
        <v>87</v>
      </c>
      <c r="D125" s="177"/>
      <c r="E125" s="178"/>
      <c r="F125" s="156">
        <f>SUM(F118:F124)</f>
        <v>1850869</v>
      </c>
      <c r="G125" s="11"/>
      <c r="J125" s="154"/>
      <c r="K125" s="155"/>
    </row>
    <row r="126" spans="1:7" ht="6" customHeight="1" thickBot="1">
      <c r="A126" s="12"/>
      <c r="B126" s="75"/>
      <c r="C126" s="75"/>
      <c r="D126" s="75"/>
      <c r="E126" s="75"/>
      <c r="F126" s="75"/>
      <c r="G126" s="14"/>
    </row>
    <row r="127" ht="14"/>
    <row r="129" spans="10:12" ht="15">
      <c r="J129" s="1">
        <v>139230</v>
      </c>
      <c r="K129" s="1">
        <v>1516207</v>
      </c>
      <c r="L129" s="1">
        <f>+K129+J129</f>
        <v>1655437</v>
      </c>
    </row>
    <row r="130" spans="10:12" ht="15">
      <c r="J130" s="1">
        <v>9800</v>
      </c>
      <c r="K130" s="1">
        <v>185632</v>
      </c>
      <c r="L130" s="1">
        <f>+K130+J130</f>
        <v>195432</v>
      </c>
    </row>
  </sheetData>
  <mergeCells count="13">
    <mergeCell ref="C109:F109"/>
    <mergeCell ref="A14:G14"/>
    <mergeCell ref="B21:F21"/>
    <mergeCell ref="B42:F42"/>
    <mergeCell ref="B94:F94"/>
    <mergeCell ref="B95:F95"/>
    <mergeCell ref="B108:F108"/>
    <mergeCell ref="A13:G13"/>
    <mergeCell ref="A8:G8"/>
    <mergeCell ref="A9:G9"/>
    <mergeCell ref="A10:G10"/>
    <mergeCell ref="A11:G11"/>
    <mergeCell ref="B12:G12"/>
  </mergeCells>
  <printOptions horizontalCentered="1" verticalCentered="1"/>
  <pageMargins left="0.27" right="0.27" top="0.75" bottom="0.75" header="0.3" footer="0.3"/>
  <pageSetup horizontalDpi="600" verticalDpi="600" orientation="landscape" scale="95"/>
  <headerFooter>
    <oddFooter>&amp;C&amp;"Arial Rounded MT Bold,Regular"&amp;12&amp;P</oddFooter>
  </headerFooter>
  <rowBreaks count="6" manualBreakCount="6">
    <brk id="18" max="16383" man="1"/>
    <brk id="41" max="16383" man="1"/>
    <brk id="58" max="16383" man="1"/>
    <brk id="73" max="16383" man="1"/>
    <brk id="91" max="16383" man="1"/>
    <brk id="10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4"/>
  <sheetViews>
    <sheetView tabSelected="1" workbookViewId="0" topLeftCell="A17">
      <selection activeCell="K26" sqref="K26"/>
    </sheetView>
  </sheetViews>
  <sheetFormatPr defaultColWidth="8.8515625" defaultRowHeight="15"/>
  <cols>
    <col min="1" max="1" width="3.00390625" style="2" bestFit="1" customWidth="1"/>
    <col min="2" max="2" width="24.421875" style="2" customWidth="1"/>
    <col min="3" max="3" width="10.421875" style="2" customWidth="1"/>
    <col min="4" max="4" width="9.28125" style="2" bestFit="1" customWidth="1"/>
    <col min="5" max="5" width="14.421875" style="2" bestFit="1" customWidth="1"/>
    <col min="6" max="6" width="10.421875" style="2" bestFit="1" customWidth="1"/>
    <col min="7" max="7" width="14.421875" style="2" bestFit="1" customWidth="1"/>
    <col min="8" max="8" width="8.8515625" style="2" customWidth="1"/>
    <col min="9" max="9" width="13.140625" style="2" bestFit="1" customWidth="1"/>
    <col min="10" max="10" width="9.28125" style="2" bestFit="1" customWidth="1"/>
    <col min="11" max="11" width="12.7109375" style="2" bestFit="1" customWidth="1"/>
    <col min="12" max="12" width="8.8515625" style="2" customWidth="1"/>
    <col min="13" max="13" width="13.140625" style="2" bestFit="1" customWidth="1"/>
    <col min="14" max="16384" width="8.8515625" style="2" customWidth="1"/>
  </cols>
  <sheetData>
    <row r="1" spans="2:9" ht="15">
      <c r="B1" s="229" t="s">
        <v>126</v>
      </c>
      <c r="C1" s="230"/>
      <c r="D1" s="230"/>
      <c r="E1" s="230"/>
      <c r="F1" s="230"/>
      <c r="G1" s="230"/>
      <c r="H1" s="230"/>
      <c r="I1" s="230"/>
    </row>
    <row r="2" spans="2:9" ht="15">
      <c r="B2" s="230" t="s">
        <v>127</v>
      </c>
      <c r="C2" s="230"/>
      <c r="D2" s="230"/>
      <c r="E2" s="230"/>
      <c r="F2" s="230"/>
      <c r="G2" s="230"/>
      <c r="H2" s="230"/>
      <c r="I2" s="230"/>
    </row>
    <row r="3" spans="2:9" ht="15">
      <c r="B3" s="230" t="s">
        <v>128</v>
      </c>
      <c r="C3" s="230"/>
      <c r="D3" s="230"/>
      <c r="E3" s="230"/>
      <c r="F3" s="230"/>
      <c r="G3" s="230"/>
      <c r="H3" s="230"/>
      <c r="I3" s="230"/>
    </row>
    <row r="4" spans="2:9" ht="15">
      <c r="B4" s="230" t="s">
        <v>129</v>
      </c>
      <c r="C4" s="230"/>
      <c r="D4" s="230"/>
      <c r="E4" s="230"/>
      <c r="F4" s="230"/>
      <c r="G4" s="230"/>
      <c r="H4" s="230"/>
      <c r="I4" s="230"/>
    </row>
    <row r="6" spans="5:9" ht="15">
      <c r="E6" s="184">
        <v>2015</v>
      </c>
      <c r="F6" s="185"/>
      <c r="G6" s="186" t="s">
        <v>102</v>
      </c>
      <c r="H6" s="187"/>
      <c r="I6" s="188"/>
    </row>
    <row r="7" spans="2:10" ht="15">
      <c r="B7" s="189"/>
      <c r="C7" s="190"/>
      <c r="D7" s="190"/>
      <c r="E7" s="191" t="s">
        <v>103</v>
      </c>
      <c r="F7" s="192"/>
      <c r="G7" s="191" t="s">
        <v>8</v>
      </c>
      <c r="H7" s="193"/>
      <c r="I7" s="191" t="s">
        <v>9</v>
      </c>
      <c r="J7" s="194" t="s">
        <v>104</v>
      </c>
    </row>
    <row r="8" spans="6:8" ht="15">
      <c r="F8" s="195"/>
      <c r="G8" s="10"/>
      <c r="H8" s="196"/>
    </row>
    <row r="9" spans="2:12" ht="15">
      <c r="B9" s="2" t="s">
        <v>42</v>
      </c>
      <c r="C9" s="197">
        <f>3000-C11</f>
        <v>2872</v>
      </c>
      <c r="D9" s="198">
        <v>415</v>
      </c>
      <c r="E9" s="198">
        <v>1245000</v>
      </c>
      <c r="F9" s="199">
        <f>3126-F11</f>
        <v>2969</v>
      </c>
      <c r="G9" s="200">
        <f>1574744-G11</f>
        <v>1548944</v>
      </c>
      <c r="H9" s="201" t="s">
        <v>105</v>
      </c>
      <c r="I9" s="198">
        <f>+G9-E9</f>
        <v>303944</v>
      </c>
      <c r="J9" s="202"/>
      <c r="K9" s="197"/>
      <c r="L9" s="203"/>
    </row>
    <row r="10" spans="2:10" ht="15">
      <c r="B10" s="2" t="s">
        <v>137</v>
      </c>
      <c r="D10" s="198"/>
      <c r="E10" s="218">
        <v>0</v>
      </c>
      <c r="F10" s="199">
        <f>263+35+320</f>
        <v>618</v>
      </c>
      <c r="G10" s="205">
        <f>-23755+5</f>
        <v>-23750</v>
      </c>
      <c r="H10" s="219"/>
      <c r="I10" s="204">
        <f>+G10-E10</f>
        <v>-23750</v>
      </c>
      <c r="J10" s="211"/>
    </row>
    <row r="11" spans="2:10" ht="13.5" customHeight="1">
      <c r="B11" s="2" t="s">
        <v>107</v>
      </c>
      <c r="C11" s="197">
        <v>128</v>
      </c>
      <c r="E11" s="204">
        <v>16000</v>
      </c>
      <c r="F11" s="199">
        <v>157</v>
      </c>
      <c r="G11" s="205">
        <v>25800</v>
      </c>
      <c r="H11" s="206"/>
      <c r="I11" s="204">
        <f>+G11-E11</f>
        <v>9800</v>
      </c>
      <c r="J11" s="202"/>
    </row>
    <row r="12" spans="2:10" ht="15">
      <c r="B12" s="2" t="s">
        <v>133</v>
      </c>
      <c r="E12" s="204">
        <v>0</v>
      </c>
      <c r="F12" s="199">
        <v>37</v>
      </c>
      <c r="G12" s="205">
        <v>1850</v>
      </c>
      <c r="H12" s="206"/>
      <c r="I12" s="204">
        <f aca="true" t="shared" si="0" ref="I12:I13">+G12-E12</f>
        <v>1850</v>
      </c>
      <c r="J12" s="202"/>
    </row>
    <row r="13" spans="2:10" ht="15">
      <c r="B13" s="2" t="s">
        <v>14</v>
      </c>
      <c r="E13" s="204">
        <v>56200</v>
      </c>
      <c r="F13" s="199">
        <f>15+14+15+13+14+12+13+5+10+5</f>
        <v>116</v>
      </c>
      <c r="G13" s="205">
        <v>80600</v>
      </c>
      <c r="H13" s="206"/>
      <c r="I13" s="204">
        <f t="shared" si="0"/>
        <v>24400</v>
      </c>
      <c r="J13" s="202"/>
    </row>
    <row r="14" spans="2:10" ht="15">
      <c r="B14" s="2" t="s">
        <v>138</v>
      </c>
      <c r="D14" s="198"/>
      <c r="E14" s="218">
        <v>0</v>
      </c>
      <c r="F14" s="199">
        <v>19</v>
      </c>
      <c r="G14" s="205">
        <v>-30160</v>
      </c>
      <c r="H14" s="219"/>
      <c r="I14" s="204">
        <f>+G14-E14</f>
        <v>-30160</v>
      </c>
      <c r="J14" s="211"/>
    </row>
    <row r="15" spans="2:10" ht="15">
      <c r="B15" s="2" t="s">
        <v>134</v>
      </c>
      <c r="E15" s="204">
        <v>2000</v>
      </c>
      <c r="F15" s="199">
        <v>8</v>
      </c>
      <c r="G15" s="205">
        <v>5675</v>
      </c>
      <c r="H15" s="206"/>
      <c r="I15" s="204">
        <f>+G15-E15</f>
        <v>3675</v>
      </c>
      <c r="J15" s="202"/>
    </row>
    <row r="16" spans="2:10" ht="15">
      <c r="B16" s="2" t="s">
        <v>136</v>
      </c>
      <c r="E16" s="204">
        <v>1000</v>
      </c>
      <c r="F16" s="199">
        <v>16</v>
      </c>
      <c r="G16" s="205">
        <v>850</v>
      </c>
      <c r="H16" s="206"/>
      <c r="I16" s="204">
        <f>+G16-E16</f>
        <v>-150</v>
      </c>
      <c r="J16" s="202"/>
    </row>
    <row r="17" spans="2:10" ht="15">
      <c r="B17" s="2" t="s">
        <v>135</v>
      </c>
      <c r="E17" s="204">
        <v>65000</v>
      </c>
      <c r="F17" s="199">
        <v>18</v>
      </c>
      <c r="G17" s="205">
        <v>85000</v>
      </c>
      <c r="H17" s="206"/>
      <c r="I17" s="204">
        <f>+G17-E17</f>
        <v>20000</v>
      </c>
      <c r="J17" s="202"/>
    </row>
    <row r="18" spans="2:10" ht="15">
      <c r="B18" s="2" t="s">
        <v>106</v>
      </c>
      <c r="E18" s="204">
        <v>4400</v>
      </c>
      <c r="F18" s="199">
        <f>24+11</f>
        <v>35</v>
      </c>
      <c r="G18" s="205">
        <f>1715+3500</f>
        <v>5215</v>
      </c>
      <c r="H18" s="206"/>
      <c r="I18" s="204">
        <f>+G18-E18</f>
        <v>815</v>
      </c>
      <c r="J18" s="202"/>
    </row>
    <row r="19" spans="2:10" ht="15">
      <c r="B19" s="2" t="s">
        <v>108</v>
      </c>
      <c r="E19" s="207">
        <v>25000</v>
      </c>
      <c r="F19" s="208"/>
      <c r="G19" s="207">
        <v>0</v>
      </c>
      <c r="H19" s="209"/>
      <c r="I19" s="210">
        <f aca="true" t="shared" si="1" ref="I19">+G19-E19</f>
        <v>-25000</v>
      </c>
      <c r="J19" s="202"/>
    </row>
    <row r="20" spans="4:10" ht="15">
      <c r="D20" s="202" t="s">
        <v>109</v>
      </c>
      <c r="E20" s="204">
        <f>SUM(E9:E19)</f>
        <v>1414600</v>
      </c>
      <c r="F20" s="199">
        <f>SUM(F9:F19)</f>
        <v>3993</v>
      </c>
      <c r="G20" s="205">
        <f>SUM(G9:G19)</f>
        <v>1700024</v>
      </c>
      <c r="H20" s="206"/>
      <c r="I20" s="204">
        <f>SUM(I9:I19)</f>
        <v>285424</v>
      </c>
      <c r="J20" s="211">
        <f>+I20/E20</f>
        <v>0.2017701116923512</v>
      </c>
    </row>
    <row r="21" spans="2:10" ht="15">
      <c r="B21" s="212" t="s">
        <v>43</v>
      </c>
      <c r="D21" s="202"/>
      <c r="E21" s="204"/>
      <c r="F21" s="199"/>
      <c r="G21" s="205"/>
      <c r="H21" s="206"/>
      <c r="I21" s="204"/>
      <c r="J21" s="202"/>
    </row>
    <row r="22" spans="2:10" ht="15">
      <c r="B22" s="2" t="s">
        <v>110</v>
      </c>
      <c r="D22" s="202"/>
      <c r="E22" s="204">
        <v>0</v>
      </c>
      <c r="F22" s="199">
        <v>112</v>
      </c>
      <c r="G22" s="205">
        <v>2800</v>
      </c>
      <c r="H22" s="206"/>
      <c r="I22" s="204">
        <f aca="true" t="shared" si="2" ref="I22:I30">+G22-E22</f>
        <v>2800</v>
      </c>
      <c r="J22" s="202"/>
    </row>
    <row r="23" spans="2:10" ht="15">
      <c r="B23" s="2" t="s">
        <v>111</v>
      </c>
      <c r="D23" s="202"/>
      <c r="E23" s="204">
        <v>0</v>
      </c>
      <c r="F23" s="199">
        <v>550</v>
      </c>
      <c r="G23" s="205">
        <v>27500</v>
      </c>
      <c r="H23" s="206"/>
      <c r="I23" s="204">
        <f t="shared" si="2"/>
        <v>27500</v>
      </c>
      <c r="J23" s="202"/>
    </row>
    <row r="24" spans="2:10" ht="15">
      <c r="B24" s="2" t="s">
        <v>112</v>
      </c>
      <c r="D24" s="202"/>
      <c r="E24" s="204">
        <v>0</v>
      </c>
      <c r="F24" s="199">
        <f>6+12+19</f>
        <v>37</v>
      </c>
      <c r="G24" s="205">
        <v>8330</v>
      </c>
      <c r="H24" s="206"/>
      <c r="I24" s="204">
        <f t="shared" si="2"/>
        <v>8330</v>
      </c>
      <c r="J24" s="202"/>
    </row>
    <row r="25" spans="2:10" ht="15">
      <c r="B25" s="2" t="s">
        <v>113</v>
      </c>
      <c r="D25" s="202"/>
      <c r="E25" s="204">
        <v>32500</v>
      </c>
      <c r="F25" s="199">
        <v>213</v>
      </c>
      <c r="G25" s="205">
        <v>26625</v>
      </c>
      <c r="H25" s="206"/>
      <c r="I25" s="204">
        <f t="shared" si="2"/>
        <v>-5875</v>
      </c>
      <c r="J25" s="202"/>
    </row>
    <row r="26" spans="2:10" ht="15">
      <c r="B26" s="2" t="s">
        <v>114</v>
      </c>
      <c r="D26" s="202"/>
      <c r="E26" s="204">
        <v>0</v>
      </c>
      <c r="F26" s="199">
        <f>53+13+31+4+366+124</f>
        <v>591</v>
      </c>
      <c r="G26" s="205">
        <v>35815</v>
      </c>
      <c r="H26" s="201" t="s">
        <v>122</v>
      </c>
      <c r="I26" s="204">
        <f t="shared" si="2"/>
        <v>35815</v>
      </c>
      <c r="J26" s="202"/>
    </row>
    <row r="27" spans="2:10" ht="15">
      <c r="B27" s="2" t="s">
        <v>115</v>
      </c>
      <c r="D27" s="202"/>
      <c r="E27" s="204">
        <v>0</v>
      </c>
      <c r="F27" s="199">
        <f>10+1+1+4+52+19</f>
        <v>87</v>
      </c>
      <c r="G27" s="205">
        <v>5255</v>
      </c>
      <c r="H27" s="201" t="s">
        <v>122</v>
      </c>
      <c r="I27" s="204">
        <f t="shared" si="2"/>
        <v>5255</v>
      </c>
      <c r="J27" s="202"/>
    </row>
    <row r="28" spans="2:10" ht="15">
      <c r="B28" s="2" t="s">
        <v>116</v>
      </c>
      <c r="D28" s="202"/>
      <c r="E28" s="204">
        <v>3000</v>
      </c>
      <c r="F28" s="199">
        <v>242</v>
      </c>
      <c r="G28" s="205">
        <v>12100</v>
      </c>
      <c r="H28" s="206"/>
      <c r="I28" s="204">
        <f t="shared" si="2"/>
        <v>9100</v>
      </c>
      <c r="J28" s="202"/>
    </row>
    <row r="29" spans="2:10" ht="15">
      <c r="B29" s="2" t="s">
        <v>130</v>
      </c>
      <c r="D29" s="202"/>
      <c r="E29" s="204">
        <v>0</v>
      </c>
      <c r="F29" s="199">
        <v>502</v>
      </c>
      <c r="G29" s="205">
        <v>30120</v>
      </c>
      <c r="H29" s="206"/>
      <c r="I29" s="204">
        <f t="shared" si="2"/>
        <v>30120</v>
      </c>
      <c r="J29" s="202"/>
    </row>
    <row r="30" spans="2:10" ht="15">
      <c r="B30" s="2" t="s">
        <v>117</v>
      </c>
      <c r="D30" s="202"/>
      <c r="E30" s="204">
        <v>0</v>
      </c>
      <c r="F30" s="199">
        <v>46</v>
      </c>
      <c r="G30" s="205">
        <v>2300</v>
      </c>
      <c r="H30" s="206"/>
      <c r="I30" s="204">
        <f t="shared" si="2"/>
        <v>2300</v>
      </c>
      <c r="J30" s="202"/>
    </row>
    <row r="31" spans="2:10" ht="15">
      <c r="B31" s="2" t="s">
        <v>118</v>
      </c>
      <c r="D31" s="202"/>
      <c r="E31" s="207">
        <v>5000</v>
      </c>
      <c r="F31" s="208"/>
      <c r="G31" s="207">
        <v>0</v>
      </c>
      <c r="H31" s="209"/>
      <c r="I31" s="210">
        <f aca="true" t="shared" si="3" ref="I31">+G31-E31</f>
        <v>-5000</v>
      </c>
      <c r="J31" s="202"/>
    </row>
    <row r="32" spans="4:10" ht="15">
      <c r="D32" s="202" t="s">
        <v>109</v>
      </c>
      <c r="E32" s="204">
        <f>SUM(E22:E31)</f>
        <v>40500</v>
      </c>
      <c r="F32" s="199">
        <f>SUM(F22:F31)</f>
        <v>2380</v>
      </c>
      <c r="G32" s="205">
        <f>SUM(G22:G31)</f>
        <v>150845</v>
      </c>
      <c r="H32" s="206"/>
      <c r="I32" s="204">
        <f>SUM(I22:I31)</f>
        <v>110345</v>
      </c>
      <c r="J32" s="211">
        <f>+I32/E32</f>
        <v>2.724567901234568</v>
      </c>
    </row>
    <row r="33" spans="4:10" ht="15">
      <c r="D33" s="202"/>
      <c r="E33" s="204"/>
      <c r="F33" s="199"/>
      <c r="G33" s="205"/>
      <c r="H33" s="206"/>
      <c r="I33" s="204"/>
      <c r="J33" s="211"/>
    </row>
    <row r="34" spans="4:13" ht="14" thickBot="1">
      <c r="D34" s="202" t="s">
        <v>123</v>
      </c>
      <c r="E34" s="213">
        <f>+E32+E20</f>
        <v>1455100</v>
      </c>
      <c r="F34" s="214"/>
      <c r="G34" s="213">
        <f>+G32+G20</f>
        <v>1850869</v>
      </c>
      <c r="H34" s="215"/>
      <c r="I34" s="216">
        <f>+G34-E34</f>
        <v>395769</v>
      </c>
      <c r="J34" s="217">
        <f>+I34/E34</f>
        <v>0.2719874922685726</v>
      </c>
      <c r="M34" s="183">
        <f>+G34</f>
        <v>1850869</v>
      </c>
    </row>
    <row r="35" spans="4:10" ht="15">
      <c r="D35" s="202"/>
      <c r="E35" s="204"/>
      <c r="F35" s="199"/>
      <c r="G35" s="205"/>
      <c r="H35" s="206"/>
      <c r="I35" s="204"/>
      <c r="J35" s="211"/>
    </row>
    <row r="36" spans="2:10" ht="15">
      <c r="B36" s="2" t="s">
        <v>119</v>
      </c>
      <c r="D36" s="202"/>
      <c r="E36" s="204"/>
      <c r="F36" s="199"/>
      <c r="G36" s="205"/>
      <c r="H36" s="206"/>
      <c r="I36" s="204"/>
      <c r="J36" s="202"/>
    </row>
    <row r="37" spans="2:13" ht="13.5" customHeight="1">
      <c r="B37" s="2" t="s">
        <v>120</v>
      </c>
      <c r="C37" s="220">
        <v>385</v>
      </c>
      <c r="D37" s="232"/>
      <c r="E37" s="218">
        <v>0</v>
      </c>
      <c r="F37" s="199">
        <v>386</v>
      </c>
      <c r="G37" s="205">
        <f>-C37*(170*3)</f>
        <v>-196350</v>
      </c>
      <c r="H37" s="201" t="s">
        <v>105</v>
      </c>
      <c r="I37" s="204">
        <f aca="true" t="shared" si="4" ref="I37:I40">+G37-E37</f>
        <v>-196350</v>
      </c>
      <c r="J37" s="221"/>
      <c r="M37" s="183">
        <f>+M34-'2015-03-03'!F118</f>
        <v>0</v>
      </c>
    </row>
    <row r="38" spans="2:10" ht="13.5" customHeight="1">
      <c r="B38" s="2" t="s">
        <v>131</v>
      </c>
      <c r="C38" s="197"/>
      <c r="D38" s="232"/>
      <c r="E38" s="218">
        <v>0</v>
      </c>
      <c r="F38" s="199">
        <f>53+13+31+4+365+124</f>
        <v>590</v>
      </c>
      <c r="G38" s="205">
        <v>-35755</v>
      </c>
      <c r="H38" s="201" t="s">
        <v>122</v>
      </c>
      <c r="I38" s="204">
        <f t="shared" si="4"/>
        <v>-35755</v>
      </c>
      <c r="J38" s="221"/>
    </row>
    <row r="39" spans="2:10" ht="15">
      <c r="B39" s="2" t="s">
        <v>132</v>
      </c>
      <c r="C39" s="197"/>
      <c r="D39" s="232"/>
      <c r="E39" s="218">
        <v>0</v>
      </c>
      <c r="F39" s="199">
        <f>10+1+1+4+52+19</f>
        <v>87</v>
      </c>
      <c r="G39" s="205">
        <v>-5255</v>
      </c>
      <c r="H39" s="201" t="s">
        <v>122</v>
      </c>
      <c r="I39" s="204">
        <f t="shared" si="4"/>
        <v>-5255</v>
      </c>
      <c r="J39" s="221"/>
    </row>
    <row r="40" spans="2:10" ht="15">
      <c r="B40" s="2" t="s">
        <v>121</v>
      </c>
      <c r="C40" s="197">
        <f>+F9+F11</f>
        <v>3126</v>
      </c>
      <c r="D40" s="232">
        <v>25</v>
      </c>
      <c r="E40" s="222">
        <v>0</v>
      </c>
      <c r="F40" s="208">
        <f>+C40</f>
        <v>3126</v>
      </c>
      <c r="G40" s="207">
        <f>-C40*D40</f>
        <v>-78150</v>
      </c>
      <c r="H40" s="223" t="s">
        <v>122</v>
      </c>
      <c r="I40" s="207">
        <f t="shared" si="4"/>
        <v>-78150</v>
      </c>
      <c r="J40" s="224"/>
    </row>
    <row r="41" spans="3:10" ht="15">
      <c r="C41" s="197"/>
      <c r="D41" s="202" t="s">
        <v>109</v>
      </c>
      <c r="E41" s="204">
        <f>SUM(E10:E40)</f>
        <v>3120300</v>
      </c>
      <c r="F41" s="195"/>
      <c r="G41" s="205">
        <f>SUM(G37:G40)</f>
        <v>-315510</v>
      </c>
      <c r="H41" s="206"/>
      <c r="I41" s="204">
        <f>SUM(I10:I40)</f>
        <v>567853</v>
      </c>
      <c r="J41" s="211">
        <v>1</v>
      </c>
    </row>
    <row r="42" spans="4:10" ht="15">
      <c r="D42" s="202"/>
      <c r="F42" s="195"/>
      <c r="G42" s="205"/>
      <c r="H42" s="196"/>
      <c r="I42" s="204"/>
      <c r="J42" s="202"/>
    </row>
    <row r="43" spans="4:10" ht="14" thickBot="1">
      <c r="D43" s="202" t="s">
        <v>123</v>
      </c>
      <c r="E43" s="213">
        <f>+E41+E34</f>
        <v>4575400</v>
      </c>
      <c r="F43" s="214"/>
      <c r="G43" s="213">
        <f>+G34+G41</f>
        <v>1535359</v>
      </c>
      <c r="H43" s="215"/>
      <c r="I43" s="216">
        <f>+I34+I41</f>
        <v>963622</v>
      </c>
      <c r="J43" s="217">
        <f>+I43/E43</f>
        <v>0.21060934563098307</v>
      </c>
    </row>
    <row r="44" spans="4:10" ht="15">
      <c r="D44" s="202"/>
      <c r="E44" s="225"/>
      <c r="F44" s="10"/>
      <c r="G44" s="225"/>
      <c r="H44" s="225"/>
      <c r="I44" s="205"/>
      <c r="J44" s="226"/>
    </row>
    <row r="45" spans="1:9" ht="15">
      <c r="A45" s="227" t="s">
        <v>105</v>
      </c>
      <c r="B45" s="228" t="s">
        <v>124</v>
      </c>
      <c r="D45" s="202"/>
      <c r="E45" s="204"/>
      <c r="G45" s="204"/>
      <c r="H45" s="204"/>
      <c r="I45" s="204"/>
    </row>
    <row r="46" spans="1:9" ht="15">
      <c r="A46" s="227" t="s">
        <v>122</v>
      </c>
      <c r="B46" s="2" t="s">
        <v>125</v>
      </c>
      <c r="E46" s="204"/>
      <c r="G46" s="204"/>
      <c r="H46" s="204"/>
      <c r="I46" s="204"/>
    </row>
    <row r="47" spans="5:9" ht="15">
      <c r="E47" s="204"/>
      <c r="G47" s="204"/>
      <c r="H47" s="204"/>
      <c r="I47" s="204"/>
    </row>
    <row r="48" spans="5:9" ht="15">
      <c r="E48" s="204"/>
      <c r="G48" s="204"/>
      <c r="H48" s="204"/>
      <c r="I48" s="204"/>
    </row>
    <row r="49" spans="5:9" ht="15">
      <c r="E49" s="204"/>
      <c r="G49" s="204"/>
      <c r="H49" s="204"/>
      <c r="I49" s="204"/>
    </row>
    <row r="50" spans="5:9" ht="15">
      <c r="E50" s="204"/>
      <c r="G50" s="204"/>
      <c r="H50" s="204"/>
      <c r="I50" s="204"/>
    </row>
    <row r="51" spans="5:9" ht="15">
      <c r="E51" s="204"/>
      <c r="G51" s="204"/>
      <c r="H51" s="204"/>
      <c r="I51" s="204"/>
    </row>
    <row r="52" spans="5:9" ht="15">
      <c r="E52" s="204"/>
      <c r="G52" s="204"/>
      <c r="H52" s="204"/>
      <c r="I52" s="204"/>
    </row>
    <row r="53" spans="5:9" ht="15">
      <c r="E53" s="204"/>
      <c r="G53" s="204"/>
      <c r="H53" s="204"/>
      <c r="I53" s="204"/>
    </row>
    <row r="54" spans="5:9" ht="15">
      <c r="E54" s="204"/>
      <c r="G54" s="204"/>
      <c r="H54" s="204"/>
      <c r="I54" s="204"/>
    </row>
  </sheetData>
  <printOptions horizontalCentered="1"/>
  <pageMargins left="0.7" right="0.7" top="0.35" bottom="0.35" header="0.3" footer="0.3"/>
  <pageSetup fitToHeight="1" fitToWidth="1" horizontalDpi="600" verticalDpi="6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Jan Gustafson-Corea</cp:lastModifiedBy>
  <cp:lastPrinted>2015-02-28T01:05:53Z</cp:lastPrinted>
  <dcterms:created xsi:type="dcterms:W3CDTF">2014-03-27T15:54:49Z</dcterms:created>
  <dcterms:modified xsi:type="dcterms:W3CDTF">2015-03-03T06:43:07Z</dcterms:modified>
  <cp:category/>
  <cp:version/>
  <cp:contentType/>
  <cp:contentStatus/>
</cp:coreProperties>
</file>